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KenE\EXCEL\1 OSMRE BIVDEP\BIVDEP 2.0\"/>
    </mc:Choice>
  </mc:AlternateContent>
  <xr:revisionPtr revIDLastSave="0" documentId="13_ncr:1_{01D0069D-54EB-4802-96DE-4D4BEBFD8C40}" xr6:coauthVersionLast="46" xr6:coauthVersionMax="46" xr10:uidLastSave="{00000000-0000-0000-0000-000000000000}"/>
  <bookViews>
    <workbookView xWindow="30525" yWindow="1440" windowWidth="25635" windowHeight="13905" tabRatio="825" xr2:uid="{00000000-000D-0000-FFFF-FFFF00000000}"/>
  </bookViews>
  <sheets>
    <sheet name="Input_Data" sheetId="1" r:id="rId1"/>
    <sheet name="Ground_Vibration" sheetId="4" r:id="rId2"/>
    <sheet name="AirBlast" sheetId="6" r:id="rId3"/>
    <sheet name="Input_Data_Metric" sheetId="9" r:id="rId4"/>
    <sheet name="Ground_Vibration_Metric" sheetId="10" r:id="rId5"/>
    <sheet name="AirBlast_Metric" sheetId="11" r:id="rId6"/>
  </sheets>
  <definedNames>
    <definedName name="Ab">OFFSET(Input_Data!$G$7,,,COUNT(Input_Data!$G$7:$G$226))</definedName>
    <definedName name="Ab_psi">OFFSET(Input_Data!$K$7,,,COUNT(Input_Data!$K$7:$K$226))</definedName>
    <definedName name="CW">OFFSET(Input_Data!$E$7,,,COUNT(Input_Data!$E$7:$E$226))</definedName>
    <definedName name="D">OFFSET(Input_Data!$D$7,,,COUNT(Input_Data!$D$7:$D$226))</definedName>
    <definedName name="Date">OFFSET(Input_Data!$B$7,,,COUNT(Input_Data!$B$7:$B$226))</definedName>
    <definedName name="Log_Ab_psi">OFFSET(Input_Data!$N$7,,,COUNT(Input_Data!$N$7:$N$226))</definedName>
    <definedName name="Log_PPV">OFFSET(Input_Data!$J$7,,,COUNT(Input_Data!$J$7:$J$226))</definedName>
    <definedName name="Log_SD2">OFFSET(Input_Data!$I$7,,,COUNT(Input_Data!$I$7:$I$226))</definedName>
    <definedName name="Log_SD3">OFFSET(Input_Data!$M$7,,,COUNT(Input_Data!$M$7:$M$226))</definedName>
    <definedName name="Metric_Ab">OFFSET(Input_Data_Metric!$G$7,,,COUNT(Input_Data_Metric!$G$7:$G$226))</definedName>
    <definedName name="Metric_CW">OFFSET(Input_Data_Metric!$E$7,,,COUNT(Input_Data_Metric!$E$7:$E$226))</definedName>
    <definedName name="Metric_D">OFFSET(Input_Data_Metric!$D$7,,,COUNT(Input_Data_Metric!$D$7:$D$226))</definedName>
    <definedName name="Metric_Log_Ab">OFFSET(Input_Data_Metric!$M$7,,,COUNT(Input_Data_Metric!$M$7:$M$226))</definedName>
    <definedName name="Metric_Log_PPV">OFFSET(Input_Data_Metric!$J$7,,,COUNT(Input_Data_Metric!$J$7:$J$226))</definedName>
    <definedName name="Metric_Log_SD2">OFFSET(Input_Data_Metric!$I$7,,,COUNT(Input_Data_Metric!$I$7:$I$226))</definedName>
    <definedName name="Metric_Log_SD3">OFFSET(Input_Data_Metric!$L$7,,,COUNT(Input_Data_Metric!$L$7:$L$226))</definedName>
    <definedName name="Metric_PPV">OFFSET(Input_Data_Metric!$F$7,,,COUNT(Input_Data_Metric!$F$7:$F$226))</definedName>
    <definedName name="Metric_SD2">OFFSET(Input_Data_Metric!$H$7,,,COUNT(Input_Data_Metric!$H$7:$H$226))</definedName>
    <definedName name="Metric_SD3">OFFSET(Input_Data_Metric!$K$7,,,COUNT(Input_Data_Metric!$K$7:$K$226))</definedName>
    <definedName name="PPV">OFFSET(Input_Data!$F$7,,,COUNT(Input_Data!$F$7:$F$226))</definedName>
    <definedName name="_xlnm.Print_Area" localSheetId="2">AirBlast!$A$1:$K$45</definedName>
    <definedName name="_xlnm.Print_Area" localSheetId="5">AirBlast_Metric!$A$1:$K$45</definedName>
    <definedName name="_xlnm.Print_Area" localSheetId="1">Ground_Vibration!$A$1:$K$45</definedName>
    <definedName name="_xlnm.Print_Area" localSheetId="4">Ground_Vibration_Metric!$A$1:$K$45</definedName>
    <definedName name="_xlnm.Print_Area" localSheetId="0">Input_Data!$A$1:$N$226</definedName>
    <definedName name="_xlnm.Print_Area" localSheetId="3">Input_Data_Metric!$A$1:$M$226</definedName>
    <definedName name="_xlnm.Print_Titles" localSheetId="0">Input_Data!$1:$6</definedName>
    <definedName name="_xlnm.Print_Titles" localSheetId="3">Input_Data_Metric!$1:$6</definedName>
    <definedName name="SD2_0.5">OFFSET(Input_Data!$H$7,,,COUNT(Input_Data!$H$7:$H$226))</definedName>
    <definedName name="SD3_0.33">OFFSET(Input_Data!$L$7,,,COUNT(Input_Data!$L$7:$L$226))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 l="1"/>
  <c r="C1" i="9" l="1"/>
  <c r="L2" i="9"/>
  <c r="L1" i="9"/>
  <c r="G2" i="9"/>
  <c r="G1" i="9"/>
  <c r="C2" i="9"/>
  <c r="F8" i="9"/>
  <c r="J8" i="9" s="1"/>
  <c r="F9" i="9"/>
  <c r="J9" i="9" s="1"/>
  <c r="F10" i="9"/>
  <c r="F11" i="9"/>
  <c r="J11" i="9" s="1"/>
  <c r="F12" i="9"/>
  <c r="J12" i="9" s="1"/>
  <c r="F13" i="9"/>
  <c r="J13" i="9" s="1"/>
  <c r="F14" i="9"/>
  <c r="J14" i="9" s="1"/>
  <c r="F15" i="9"/>
  <c r="J15" i="9" s="1"/>
  <c r="F16" i="9"/>
  <c r="J16" i="9" s="1"/>
  <c r="F17" i="9"/>
  <c r="J17" i="9" s="1"/>
  <c r="F18" i="9"/>
  <c r="F19" i="9"/>
  <c r="J19" i="9" s="1"/>
  <c r="F20" i="9"/>
  <c r="J20" i="9" s="1"/>
  <c r="F21" i="9"/>
  <c r="J21" i="9" s="1"/>
  <c r="F22" i="9"/>
  <c r="J22" i="9" s="1"/>
  <c r="F23" i="9"/>
  <c r="J23" i="9" s="1"/>
  <c r="F24" i="9"/>
  <c r="J24" i="9" s="1"/>
  <c r="F25" i="9"/>
  <c r="J25" i="9" s="1"/>
  <c r="F26" i="9"/>
  <c r="J26" i="9" s="1"/>
  <c r="F27" i="9"/>
  <c r="J27" i="9" s="1"/>
  <c r="F28" i="9"/>
  <c r="J28" i="9" s="1"/>
  <c r="F29" i="9"/>
  <c r="J29" i="9" s="1"/>
  <c r="F30" i="9"/>
  <c r="J30" i="9" s="1"/>
  <c r="F31" i="9"/>
  <c r="J31" i="9" s="1"/>
  <c r="F32" i="9"/>
  <c r="J32" i="9" s="1"/>
  <c r="F33" i="9"/>
  <c r="J33" i="9" s="1"/>
  <c r="F34" i="9"/>
  <c r="F35" i="9"/>
  <c r="J35" i="9" s="1"/>
  <c r="F36" i="9"/>
  <c r="J36" i="9" s="1"/>
  <c r="F37" i="9"/>
  <c r="J37" i="9" s="1"/>
  <c r="F38" i="9"/>
  <c r="J38" i="9" s="1"/>
  <c r="F39" i="9"/>
  <c r="J39" i="9" s="1"/>
  <c r="F40" i="9"/>
  <c r="J40" i="9" s="1"/>
  <c r="F41" i="9"/>
  <c r="J41" i="9" s="1"/>
  <c r="F42" i="9"/>
  <c r="F43" i="9"/>
  <c r="J43" i="9" s="1"/>
  <c r="F44" i="9"/>
  <c r="J44" i="9" s="1"/>
  <c r="F45" i="9"/>
  <c r="J45" i="9" s="1"/>
  <c r="F46" i="9"/>
  <c r="J46" i="9" s="1"/>
  <c r="F47" i="9"/>
  <c r="J47" i="9" s="1"/>
  <c r="F48" i="9"/>
  <c r="J48" i="9" s="1"/>
  <c r="F49" i="9"/>
  <c r="J49" i="9" s="1"/>
  <c r="F50" i="9"/>
  <c r="J50" i="9" s="1"/>
  <c r="F51" i="9"/>
  <c r="J51" i="9" s="1"/>
  <c r="F52" i="9"/>
  <c r="J52" i="9" s="1"/>
  <c r="F53" i="9"/>
  <c r="J53" i="9" s="1"/>
  <c r="F54" i="9"/>
  <c r="J54" i="9" s="1"/>
  <c r="F55" i="9"/>
  <c r="J55" i="9" s="1"/>
  <c r="F56" i="9"/>
  <c r="J56" i="9" s="1"/>
  <c r="F57" i="9"/>
  <c r="J57" i="9" s="1"/>
  <c r="F58" i="9"/>
  <c r="J58" i="9" s="1"/>
  <c r="F59" i="9"/>
  <c r="J59" i="9" s="1"/>
  <c r="F60" i="9"/>
  <c r="J60" i="9" s="1"/>
  <c r="F61" i="9"/>
  <c r="J61" i="9" s="1"/>
  <c r="F62" i="9"/>
  <c r="J62" i="9" s="1"/>
  <c r="F63" i="9"/>
  <c r="J63" i="9" s="1"/>
  <c r="F64" i="9"/>
  <c r="J64" i="9" s="1"/>
  <c r="F65" i="9"/>
  <c r="J65" i="9" s="1"/>
  <c r="F66" i="9"/>
  <c r="J66" i="9" s="1"/>
  <c r="F67" i="9"/>
  <c r="J67" i="9" s="1"/>
  <c r="F68" i="9"/>
  <c r="J68" i="9" s="1"/>
  <c r="F69" i="9"/>
  <c r="J69" i="9" s="1"/>
  <c r="F70" i="9"/>
  <c r="J70" i="9" s="1"/>
  <c r="F71" i="9"/>
  <c r="J71" i="9" s="1"/>
  <c r="F72" i="9"/>
  <c r="J72" i="9" s="1"/>
  <c r="F73" i="9"/>
  <c r="J73" i="9" s="1"/>
  <c r="F74" i="9"/>
  <c r="F75" i="9"/>
  <c r="J75" i="9" s="1"/>
  <c r="F76" i="9"/>
  <c r="J76" i="9" s="1"/>
  <c r="F77" i="9"/>
  <c r="J77" i="9" s="1"/>
  <c r="F78" i="9"/>
  <c r="J78" i="9" s="1"/>
  <c r="F79" i="9"/>
  <c r="J79" i="9" s="1"/>
  <c r="F80" i="9"/>
  <c r="J80" i="9" s="1"/>
  <c r="F81" i="9"/>
  <c r="J81" i="9" s="1"/>
  <c r="F82" i="9"/>
  <c r="F83" i="9"/>
  <c r="J83" i="9" s="1"/>
  <c r="F84" i="9"/>
  <c r="J84" i="9" s="1"/>
  <c r="F85" i="9"/>
  <c r="J85" i="9" s="1"/>
  <c r="F86" i="9"/>
  <c r="J86" i="9" s="1"/>
  <c r="F87" i="9"/>
  <c r="J87" i="9" s="1"/>
  <c r="F88" i="9"/>
  <c r="J88" i="9" s="1"/>
  <c r="F89" i="9"/>
  <c r="J89" i="9" s="1"/>
  <c r="F90" i="9"/>
  <c r="F91" i="9"/>
  <c r="J91" i="9" s="1"/>
  <c r="F92" i="9"/>
  <c r="J92" i="9" s="1"/>
  <c r="F93" i="9"/>
  <c r="J93" i="9" s="1"/>
  <c r="F94" i="9"/>
  <c r="J94" i="9" s="1"/>
  <c r="F95" i="9"/>
  <c r="J95" i="9" s="1"/>
  <c r="F96" i="9"/>
  <c r="J96" i="9" s="1"/>
  <c r="F97" i="9"/>
  <c r="J97" i="9" s="1"/>
  <c r="F98" i="9"/>
  <c r="J98" i="9" s="1"/>
  <c r="F99" i="9"/>
  <c r="J99" i="9" s="1"/>
  <c r="F100" i="9"/>
  <c r="J100" i="9" s="1"/>
  <c r="F101" i="9"/>
  <c r="J101" i="9" s="1"/>
  <c r="F102" i="9"/>
  <c r="J102" i="9" s="1"/>
  <c r="F103" i="9"/>
  <c r="J103" i="9" s="1"/>
  <c r="F104" i="9"/>
  <c r="J104" i="9" s="1"/>
  <c r="F105" i="9"/>
  <c r="J105" i="9" s="1"/>
  <c r="F106" i="9"/>
  <c r="J106" i="9" s="1"/>
  <c r="F107" i="9"/>
  <c r="J107" i="9" s="1"/>
  <c r="F108" i="9"/>
  <c r="J108" i="9" s="1"/>
  <c r="F109" i="9"/>
  <c r="J109" i="9" s="1"/>
  <c r="F110" i="9"/>
  <c r="J110" i="9" s="1"/>
  <c r="F111" i="9"/>
  <c r="J111" i="9" s="1"/>
  <c r="F112" i="9"/>
  <c r="J112" i="9" s="1"/>
  <c r="F113" i="9"/>
  <c r="J113" i="9" s="1"/>
  <c r="F114" i="9"/>
  <c r="F115" i="9"/>
  <c r="J115" i="9" s="1"/>
  <c r="F116" i="9"/>
  <c r="J116" i="9" s="1"/>
  <c r="F117" i="9"/>
  <c r="J117" i="9" s="1"/>
  <c r="F118" i="9"/>
  <c r="J118" i="9" s="1"/>
  <c r="F119" i="9"/>
  <c r="J119" i="9" s="1"/>
  <c r="F120" i="9"/>
  <c r="J120" i="9" s="1"/>
  <c r="F121" i="9"/>
  <c r="J121" i="9" s="1"/>
  <c r="F122" i="9"/>
  <c r="J122" i="9" s="1"/>
  <c r="F123" i="9"/>
  <c r="J123" i="9" s="1"/>
  <c r="F124" i="9"/>
  <c r="J124" i="9" s="1"/>
  <c r="F125" i="9"/>
  <c r="J125" i="9" s="1"/>
  <c r="F126" i="9"/>
  <c r="J126" i="9" s="1"/>
  <c r="F127" i="9"/>
  <c r="J127" i="9" s="1"/>
  <c r="F128" i="9"/>
  <c r="J128" i="9" s="1"/>
  <c r="F129" i="9"/>
  <c r="J129" i="9" s="1"/>
  <c r="F130" i="9"/>
  <c r="F131" i="9"/>
  <c r="F132" i="9"/>
  <c r="J132" i="9" s="1"/>
  <c r="F133" i="9"/>
  <c r="J133" i="9" s="1"/>
  <c r="F134" i="9"/>
  <c r="J134" i="9" s="1"/>
  <c r="F135" i="9"/>
  <c r="J135" i="9" s="1"/>
  <c r="F136" i="9"/>
  <c r="J136" i="9" s="1"/>
  <c r="F137" i="9"/>
  <c r="J137" i="9" s="1"/>
  <c r="F138" i="9"/>
  <c r="J138" i="9" s="1"/>
  <c r="F139" i="9"/>
  <c r="J139" i="9" s="1"/>
  <c r="F140" i="9"/>
  <c r="J140" i="9" s="1"/>
  <c r="F141" i="9"/>
  <c r="J141" i="9" s="1"/>
  <c r="F142" i="9"/>
  <c r="J142" i="9" s="1"/>
  <c r="F143" i="9"/>
  <c r="J143" i="9" s="1"/>
  <c r="F144" i="9"/>
  <c r="J144" i="9" s="1"/>
  <c r="F145" i="9"/>
  <c r="J145" i="9" s="1"/>
  <c r="F146" i="9"/>
  <c r="J146" i="9" s="1"/>
  <c r="F147" i="9"/>
  <c r="J147" i="9" s="1"/>
  <c r="F148" i="9"/>
  <c r="J148" i="9" s="1"/>
  <c r="F149" i="9"/>
  <c r="J149" i="9" s="1"/>
  <c r="F150" i="9"/>
  <c r="J150" i="9" s="1"/>
  <c r="F151" i="9"/>
  <c r="J151" i="9" s="1"/>
  <c r="F152" i="9"/>
  <c r="J152" i="9" s="1"/>
  <c r="F153" i="9"/>
  <c r="J153" i="9" s="1"/>
  <c r="F154" i="9"/>
  <c r="J154" i="9" s="1"/>
  <c r="F155" i="9"/>
  <c r="J155" i="9" s="1"/>
  <c r="F156" i="9"/>
  <c r="J156" i="9" s="1"/>
  <c r="F157" i="9"/>
  <c r="J157" i="9" s="1"/>
  <c r="F158" i="9"/>
  <c r="J158" i="9" s="1"/>
  <c r="F159" i="9"/>
  <c r="J159" i="9" s="1"/>
  <c r="F160" i="9"/>
  <c r="J160" i="9" s="1"/>
  <c r="F161" i="9"/>
  <c r="J161" i="9" s="1"/>
  <c r="F162" i="9"/>
  <c r="F163" i="9"/>
  <c r="J163" i="9" s="1"/>
  <c r="F164" i="9"/>
  <c r="J164" i="9" s="1"/>
  <c r="F165" i="9"/>
  <c r="J165" i="9" s="1"/>
  <c r="F166" i="9"/>
  <c r="J166" i="9" s="1"/>
  <c r="F167" i="9"/>
  <c r="J167" i="9" s="1"/>
  <c r="F168" i="9"/>
  <c r="J168" i="9" s="1"/>
  <c r="F169" i="9"/>
  <c r="J169" i="9" s="1"/>
  <c r="F170" i="9"/>
  <c r="J170" i="9" s="1"/>
  <c r="F171" i="9"/>
  <c r="F172" i="9"/>
  <c r="J172" i="9" s="1"/>
  <c r="F173" i="9"/>
  <c r="J173" i="9" s="1"/>
  <c r="F174" i="9"/>
  <c r="J174" i="9" s="1"/>
  <c r="F175" i="9"/>
  <c r="J175" i="9" s="1"/>
  <c r="F176" i="9"/>
  <c r="J176" i="9" s="1"/>
  <c r="F177" i="9"/>
  <c r="J177" i="9" s="1"/>
  <c r="F178" i="9"/>
  <c r="J178" i="9" s="1"/>
  <c r="F179" i="9"/>
  <c r="J179" i="9" s="1"/>
  <c r="F180" i="9"/>
  <c r="J180" i="9" s="1"/>
  <c r="F181" i="9"/>
  <c r="J181" i="9" s="1"/>
  <c r="F182" i="9"/>
  <c r="J182" i="9" s="1"/>
  <c r="F183" i="9"/>
  <c r="J183" i="9" s="1"/>
  <c r="F184" i="9"/>
  <c r="J184" i="9" s="1"/>
  <c r="F185" i="9"/>
  <c r="J185" i="9" s="1"/>
  <c r="F186" i="9"/>
  <c r="J186" i="9" s="1"/>
  <c r="F187" i="9"/>
  <c r="J187" i="9" s="1"/>
  <c r="F188" i="9"/>
  <c r="J188" i="9" s="1"/>
  <c r="F189" i="9"/>
  <c r="J189" i="9" s="1"/>
  <c r="F190" i="9"/>
  <c r="J190" i="9" s="1"/>
  <c r="F191" i="9"/>
  <c r="J191" i="9" s="1"/>
  <c r="F192" i="9"/>
  <c r="J192" i="9" s="1"/>
  <c r="F193" i="9"/>
  <c r="J193" i="9" s="1"/>
  <c r="F194" i="9"/>
  <c r="J194" i="9" s="1"/>
  <c r="F195" i="9"/>
  <c r="J195" i="9" s="1"/>
  <c r="F196" i="9"/>
  <c r="J196" i="9" s="1"/>
  <c r="F197" i="9"/>
  <c r="J197" i="9" s="1"/>
  <c r="F198" i="9"/>
  <c r="J198" i="9" s="1"/>
  <c r="F199" i="9"/>
  <c r="J199" i="9" s="1"/>
  <c r="F200" i="9"/>
  <c r="J200" i="9" s="1"/>
  <c r="F201" i="9"/>
  <c r="J201" i="9" s="1"/>
  <c r="F202" i="9"/>
  <c r="F203" i="9"/>
  <c r="J203" i="9" s="1"/>
  <c r="F204" i="9"/>
  <c r="J204" i="9" s="1"/>
  <c r="F205" i="9"/>
  <c r="J205" i="9" s="1"/>
  <c r="F206" i="9"/>
  <c r="J206" i="9" s="1"/>
  <c r="F207" i="9"/>
  <c r="J207" i="9" s="1"/>
  <c r="F208" i="9"/>
  <c r="J208" i="9" s="1"/>
  <c r="F209" i="9"/>
  <c r="J209" i="9" s="1"/>
  <c r="F210" i="9"/>
  <c r="J210" i="9" s="1"/>
  <c r="F211" i="9"/>
  <c r="J211" i="9" s="1"/>
  <c r="F212" i="9"/>
  <c r="J212" i="9" s="1"/>
  <c r="F213" i="9"/>
  <c r="J213" i="9" s="1"/>
  <c r="F214" i="9"/>
  <c r="J214" i="9" s="1"/>
  <c r="F215" i="9"/>
  <c r="J215" i="9" s="1"/>
  <c r="F216" i="9"/>
  <c r="J216" i="9" s="1"/>
  <c r="F217" i="9"/>
  <c r="J217" i="9" s="1"/>
  <c r="F218" i="9"/>
  <c r="J218" i="9" s="1"/>
  <c r="F219" i="9"/>
  <c r="J219" i="9" s="1"/>
  <c r="F220" i="9"/>
  <c r="J220" i="9" s="1"/>
  <c r="F221" i="9"/>
  <c r="J221" i="9" s="1"/>
  <c r="F222" i="9"/>
  <c r="J222" i="9" s="1"/>
  <c r="F223" i="9"/>
  <c r="J223" i="9" s="1"/>
  <c r="F224" i="9"/>
  <c r="J224" i="9" s="1"/>
  <c r="F225" i="9"/>
  <c r="F226" i="9"/>
  <c r="J226" i="9" s="1"/>
  <c r="F7" i="9"/>
  <c r="J7" i="9" s="1"/>
  <c r="J10" i="9"/>
  <c r="J18" i="9"/>
  <c r="J34" i="9"/>
  <c r="J42" i="9"/>
  <c r="J74" i="9"/>
  <c r="J82" i="9"/>
  <c r="J90" i="9"/>
  <c r="J114" i="9"/>
  <c r="J130" i="9"/>
  <c r="J131" i="9"/>
  <c r="J162" i="9"/>
  <c r="J171" i="9"/>
  <c r="J202" i="9"/>
  <c r="J225"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E119" i="9"/>
  <c r="E120" i="9"/>
  <c r="E121" i="9"/>
  <c r="E122" i="9"/>
  <c r="E123" i="9"/>
  <c r="E124" i="9"/>
  <c r="E125" i="9"/>
  <c r="E126" i="9"/>
  <c r="E127" i="9"/>
  <c r="E128" i="9"/>
  <c r="E129" i="9"/>
  <c r="E130" i="9"/>
  <c r="E131" i="9"/>
  <c r="E132" i="9"/>
  <c r="E133" i="9"/>
  <c r="E134" i="9"/>
  <c r="E135" i="9"/>
  <c r="E136" i="9"/>
  <c r="E137" i="9"/>
  <c r="E138" i="9"/>
  <c r="E139" i="9"/>
  <c r="E140" i="9"/>
  <c r="E141" i="9"/>
  <c r="E142" i="9"/>
  <c r="E143" i="9"/>
  <c r="E144" i="9"/>
  <c r="E145" i="9"/>
  <c r="E146" i="9"/>
  <c r="E147" i="9"/>
  <c r="E148" i="9"/>
  <c r="E149" i="9"/>
  <c r="E150" i="9"/>
  <c r="E151" i="9"/>
  <c r="E152" i="9"/>
  <c r="E153" i="9"/>
  <c r="E154" i="9"/>
  <c r="E155" i="9"/>
  <c r="E156" i="9"/>
  <c r="E157" i="9"/>
  <c r="E158" i="9"/>
  <c r="E159" i="9"/>
  <c r="E160" i="9"/>
  <c r="E161" i="9"/>
  <c r="E162" i="9"/>
  <c r="E163" i="9"/>
  <c r="E164" i="9"/>
  <c r="E165" i="9"/>
  <c r="E166" i="9"/>
  <c r="E167" i="9"/>
  <c r="E168" i="9"/>
  <c r="E169" i="9"/>
  <c r="E170" i="9"/>
  <c r="E171" i="9"/>
  <c r="E172" i="9"/>
  <c r="E173" i="9"/>
  <c r="E174" i="9"/>
  <c r="E175" i="9"/>
  <c r="E176" i="9"/>
  <c r="E177" i="9"/>
  <c r="E178" i="9"/>
  <c r="E179" i="9"/>
  <c r="E180" i="9"/>
  <c r="E181" i="9"/>
  <c r="E182" i="9"/>
  <c r="E183" i="9"/>
  <c r="E184" i="9"/>
  <c r="E185" i="9"/>
  <c r="E186" i="9"/>
  <c r="E187" i="9"/>
  <c r="E188" i="9"/>
  <c r="E189" i="9"/>
  <c r="E190" i="9"/>
  <c r="E191" i="9"/>
  <c r="E192" i="9"/>
  <c r="E193" i="9"/>
  <c r="E194" i="9"/>
  <c r="E195" i="9"/>
  <c r="E196" i="9"/>
  <c r="E197" i="9"/>
  <c r="E198" i="9"/>
  <c r="E199" i="9"/>
  <c r="E200" i="9"/>
  <c r="E201" i="9"/>
  <c r="E202" i="9"/>
  <c r="E203" i="9"/>
  <c r="E204" i="9"/>
  <c r="E205" i="9"/>
  <c r="E206" i="9"/>
  <c r="E207" i="9"/>
  <c r="E208" i="9"/>
  <c r="E209" i="9"/>
  <c r="E210" i="9"/>
  <c r="E211" i="9"/>
  <c r="E212" i="9"/>
  <c r="E213" i="9"/>
  <c r="E214" i="9"/>
  <c r="E215" i="9"/>
  <c r="E216" i="9"/>
  <c r="E217" i="9"/>
  <c r="E218" i="9"/>
  <c r="E219" i="9"/>
  <c r="E220" i="9"/>
  <c r="E221" i="9"/>
  <c r="E222" i="9"/>
  <c r="E223" i="9"/>
  <c r="E224" i="9"/>
  <c r="E225" i="9"/>
  <c r="E226" i="9"/>
  <c r="E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C119" i="9"/>
  <c r="C120" i="9"/>
  <c r="C121" i="9"/>
  <c r="C122" i="9"/>
  <c r="C123" i="9"/>
  <c r="C124" i="9"/>
  <c r="C125" i="9"/>
  <c r="C126" i="9"/>
  <c r="C127" i="9"/>
  <c r="C128" i="9"/>
  <c r="C129" i="9"/>
  <c r="C130" i="9"/>
  <c r="C131" i="9"/>
  <c r="C132" i="9"/>
  <c r="C133" i="9"/>
  <c r="C134" i="9"/>
  <c r="C135" i="9"/>
  <c r="C136" i="9"/>
  <c r="C137" i="9"/>
  <c r="C138" i="9"/>
  <c r="C139" i="9"/>
  <c r="C140" i="9"/>
  <c r="C141" i="9"/>
  <c r="C142" i="9"/>
  <c r="C143" i="9"/>
  <c r="C144" i="9"/>
  <c r="C145" i="9"/>
  <c r="C146" i="9"/>
  <c r="C147" i="9"/>
  <c r="C148" i="9"/>
  <c r="C149" i="9"/>
  <c r="C150" i="9"/>
  <c r="C151" i="9"/>
  <c r="C152" i="9"/>
  <c r="C153" i="9"/>
  <c r="C154" i="9"/>
  <c r="C155" i="9"/>
  <c r="C156" i="9"/>
  <c r="C157" i="9"/>
  <c r="C158" i="9"/>
  <c r="C159" i="9"/>
  <c r="C160" i="9"/>
  <c r="C161" i="9"/>
  <c r="C162" i="9"/>
  <c r="C163" i="9"/>
  <c r="C164" i="9"/>
  <c r="C165" i="9"/>
  <c r="C166" i="9"/>
  <c r="C167" i="9"/>
  <c r="C168" i="9"/>
  <c r="C169" i="9"/>
  <c r="C170" i="9"/>
  <c r="C171" i="9"/>
  <c r="C172" i="9"/>
  <c r="C173" i="9"/>
  <c r="C174" i="9"/>
  <c r="C175" i="9"/>
  <c r="C176" i="9"/>
  <c r="C177" i="9"/>
  <c r="C178" i="9"/>
  <c r="C179" i="9"/>
  <c r="C180" i="9"/>
  <c r="C181" i="9"/>
  <c r="C182" i="9"/>
  <c r="C183" i="9"/>
  <c r="C184" i="9"/>
  <c r="C185" i="9"/>
  <c r="C186" i="9"/>
  <c r="C187" i="9"/>
  <c r="C188" i="9"/>
  <c r="C189" i="9"/>
  <c r="C190" i="9"/>
  <c r="C191" i="9"/>
  <c r="C192" i="9"/>
  <c r="C193" i="9"/>
  <c r="C194" i="9"/>
  <c r="C195" i="9"/>
  <c r="C196" i="9"/>
  <c r="C197" i="9"/>
  <c r="C198" i="9"/>
  <c r="C199" i="9"/>
  <c r="C200" i="9"/>
  <c r="C201" i="9"/>
  <c r="C202" i="9"/>
  <c r="C203" i="9"/>
  <c r="C204" i="9"/>
  <c r="C205" i="9"/>
  <c r="C206" i="9"/>
  <c r="C207" i="9"/>
  <c r="C208" i="9"/>
  <c r="C209" i="9"/>
  <c r="C210" i="9"/>
  <c r="C211" i="9"/>
  <c r="C212" i="9"/>
  <c r="C213" i="9"/>
  <c r="C214" i="9"/>
  <c r="C215" i="9"/>
  <c r="C216" i="9"/>
  <c r="C217" i="9"/>
  <c r="C218" i="9"/>
  <c r="C219" i="9"/>
  <c r="C220" i="9"/>
  <c r="C221" i="9"/>
  <c r="C222" i="9"/>
  <c r="C223" i="9"/>
  <c r="C224" i="9"/>
  <c r="C225" i="9"/>
  <c r="C226" i="9"/>
  <c r="C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B119" i="9"/>
  <c r="B120" i="9"/>
  <c r="B121" i="9"/>
  <c r="B122" i="9"/>
  <c r="B123" i="9"/>
  <c r="B124" i="9"/>
  <c r="B125" i="9"/>
  <c r="B126" i="9"/>
  <c r="B127" i="9"/>
  <c r="B128" i="9"/>
  <c r="B129" i="9"/>
  <c r="B130" i="9"/>
  <c r="B131" i="9"/>
  <c r="B132" i="9"/>
  <c r="B133" i="9"/>
  <c r="B134" i="9"/>
  <c r="B135" i="9"/>
  <c r="B136" i="9"/>
  <c r="B137" i="9"/>
  <c r="B138" i="9"/>
  <c r="B139" i="9"/>
  <c r="B140" i="9"/>
  <c r="B141" i="9"/>
  <c r="B142" i="9"/>
  <c r="B143" i="9"/>
  <c r="B144" i="9"/>
  <c r="B145" i="9"/>
  <c r="B146" i="9"/>
  <c r="B147" i="9"/>
  <c r="B148" i="9"/>
  <c r="B149" i="9"/>
  <c r="B150" i="9"/>
  <c r="B151" i="9"/>
  <c r="B152" i="9"/>
  <c r="B153" i="9"/>
  <c r="B154" i="9"/>
  <c r="B155" i="9"/>
  <c r="B156" i="9"/>
  <c r="B157" i="9"/>
  <c r="B158" i="9"/>
  <c r="B159" i="9"/>
  <c r="B160" i="9"/>
  <c r="B161" i="9"/>
  <c r="B162" i="9"/>
  <c r="B163" i="9"/>
  <c r="B164" i="9"/>
  <c r="B165" i="9"/>
  <c r="B166" i="9"/>
  <c r="B167" i="9"/>
  <c r="B168" i="9"/>
  <c r="B169" i="9"/>
  <c r="B170" i="9"/>
  <c r="B171" i="9"/>
  <c r="B172" i="9"/>
  <c r="B173" i="9"/>
  <c r="B174" i="9"/>
  <c r="B175" i="9"/>
  <c r="B176" i="9"/>
  <c r="B177" i="9"/>
  <c r="B178" i="9"/>
  <c r="B179" i="9"/>
  <c r="B180" i="9"/>
  <c r="B181" i="9"/>
  <c r="B182" i="9"/>
  <c r="B183" i="9"/>
  <c r="B184" i="9"/>
  <c r="B185" i="9"/>
  <c r="B186" i="9"/>
  <c r="B187" i="9"/>
  <c r="B188" i="9"/>
  <c r="B189" i="9"/>
  <c r="B190" i="9"/>
  <c r="B191" i="9"/>
  <c r="B192" i="9"/>
  <c r="B193" i="9"/>
  <c r="B194" i="9"/>
  <c r="B195" i="9"/>
  <c r="B196" i="9"/>
  <c r="B197" i="9"/>
  <c r="B198" i="9"/>
  <c r="B199" i="9"/>
  <c r="B200" i="9"/>
  <c r="B201" i="9"/>
  <c r="B202" i="9"/>
  <c r="B203" i="9"/>
  <c r="B204" i="9"/>
  <c r="B205" i="9"/>
  <c r="B206" i="9"/>
  <c r="B207" i="9"/>
  <c r="B208" i="9"/>
  <c r="B209" i="9"/>
  <c r="B210" i="9"/>
  <c r="B211" i="9"/>
  <c r="B212" i="9"/>
  <c r="B213" i="9"/>
  <c r="B214" i="9"/>
  <c r="B215" i="9"/>
  <c r="B216" i="9"/>
  <c r="B217" i="9"/>
  <c r="B218" i="9"/>
  <c r="B219" i="9"/>
  <c r="B220" i="9"/>
  <c r="B221" i="9"/>
  <c r="B222" i="9"/>
  <c r="B223" i="9"/>
  <c r="B224" i="9"/>
  <c r="B225" i="9"/>
  <c r="B226" i="9"/>
  <c r="B7" i="9"/>
  <c r="D8" i="9"/>
  <c r="D9" i="9"/>
  <c r="D10" i="9"/>
  <c r="D11" i="9"/>
  <c r="D12" i="9"/>
  <c r="D13" i="9"/>
  <c r="D14" i="9"/>
  <c r="D15" i="9"/>
  <c r="D16" i="9"/>
  <c r="D17" i="9"/>
  <c r="D18" i="9"/>
  <c r="D19" i="9"/>
  <c r="D20" i="9"/>
  <c r="D21" i="9"/>
  <c r="D22" i="9"/>
  <c r="D23" i="9"/>
  <c r="D24" i="9"/>
  <c r="D25" i="9"/>
  <c r="D26" i="9"/>
  <c r="D27" i="9"/>
  <c r="D28" i="9"/>
  <c r="D29" i="9"/>
  <c r="D30" i="9"/>
  <c r="D31" i="9"/>
  <c r="D32" i="9"/>
  <c r="D33" i="9"/>
  <c r="H33" i="9" s="1"/>
  <c r="I33" i="9" s="1"/>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K217" i="9" s="1"/>
  <c r="L217" i="9" s="1"/>
  <c r="D218" i="9"/>
  <c r="D219" i="9"/>
  <c r="D220" i="9"/>
  <c r="D221" i="9"/>
  <c r="D222" i="9"/>
  <c r="D223" i="9"/>
  <c r="D224" i="9"/>
  <c r="H224" i="9" s="1"/>
  <c r="I224" i="9" s="1"/>
  <c r="D225" i="9"/>
  <c r="K225" i="9" s="1"/>
  <c r="L225" i="9" s="1"/>
  <c r="D226" i="9"/>
  <c r="H226" i="9" s="1"/>
  <c r="I226" i="9" s="1"/>
  <c r="K10" i="9" l="1"/>
  <c r="L10" i="9" s="1"/>
  <c r="H219" i="9"/>
  <c r="I219" i="9" s="1"/>
  <c r="K226" i="9"/>
  <c r="L226" i="9" s="1"/>
  <c r="H220" i="9"/>
  <c r="I220" i="9" s="1"/>
  <c r="H212" i="9"/>
  <c r="I212" i="9" s="1"/>
  <c r="H196" i="9"/>
  <c r="I196" i="9" s="1"/>
  <c r="H188" i="9"/>
  <c r="I188" i="9" s="1"/>
  <c r="H180" i="9"/>
  <c r="I180" i="9" s="1"/>
  <c r="K164" i="9"/>
  <c r="L164" i="9" s="1"/>
  <c r="K148" i="9"/>
  <c r="L148" i="9" s="1"/>
  <c r="H132" i="9"/>
  <c r="I132" i="9" s="1"/>
  <c r="H124" i="9"/>
  <c r="I124" i="9" s="1"/>
  <c r="K116" i="9"/>
  <c r="L116" i="9" s="1"/>
  <c r="K68" i="9"/>
  <c r="L68" i="9" s="1"/>
  <c r="K224" i="9"/>
  <c r="L224" i="9" s="1"/>
  <c r="H208" i="9"/>
  <c r="I208" i="9" s="1"/>
  <c r="H120" i="9"/>
  <c r="I120" i="9" s="1"/>
  <c r="H96" i="9"/>
  <c r="I96" i="9" s="1"/>
  <c r="K28" i="9"/>
  <c r="L28" i="9" s="1"/>
  <c r="H35" i="9"/>
  <c r="I35" i="9" s="1"/>
  <c r="H52" i="9"/>
  <c r="I52" i="9" s="1"/>
  <c r="H36" i="9"/>
  <c r="I36" i="9" s="1"/>
  <c r="K34" i="9"/>
  <c r="L34" i="9" s="1"/>
  <c r="H10" i="9"/>
  <c r="I10" i="9" s="1"/>
  <c r="K17" i="9"/>
  <c r="L17" i="9" s="1"/>
  <c r="H225" i="9"/>
  <c r="I225" i="9" s="1"/>
  <c r="K207" i="9"/>
  <c r="L207" i="9" s="1"/>
  <c r="K111" i="9"/>
  <c r="L111" i="9" s="1"/>
  <c r="K206" i="9"/>
  <c r="L206" i="9" s="1"/>
  <c r="K190" i="9"/>
  <c r="L190" i="9" s="1"/>
  <c r="K174" i="9"/>
  <c r="L174" i="9" s="1"/>
  <c r="H102" i="9"/>
  <c r="I102" i="9" s="1"/>
  <c r="K62" i="9"/>
  <c r="L62" i="9" s="1"/>
  <c r="H170" i="9"/>
  <c r="I170" i="9" s="1"/>
  <c r="K201" i="9"/>
  <c r="L201" i="9" s="1"/>
  <c r="K193" i="9"/>
  <c r="L193" i="9" s="1"/>
  <c r="K169" i="9"/>
  <c r="L169" i="9" s="1"/>
  <c r="K161" i="9"/>
  <c r="L161" i="9" s="1"/>
  <c r="K153" i="9"/>
  <c r="L153" i="9" s="1"/>
  <c r="K137" i="9"/>
  <c r="L137" i="9" s="1"/>
  <c r="H97" i="9"/>
  <c r="I97" i="9" s="1"/>
  <c r="H73" i="9"/>
  <c r="I73" i="9" s="1"/>
  <c r="H192" i="9"/>
  <c r="I192" i="9" s="1"/>
  <c r="K203" i="9"/>
  <c r="L203" i="9" s="1"/>
  <c r="K179" i="9"/>
  <c r="L179" i="9" s="1"/>
  <c r="H171" i="9"/>
  <c r="I171" i="9" s="1"/>
  <c r="H155" i="9"/>
  <c r="I155" i="9" s="1"/>
  <c r="H123" i="9"/>
  <c r="I123" i="9" s="1"/>
  <c r="K107" i="9"/>
  <c r="L107" i="9" s="1"/>
  <c r="H99" i="9"/>
  <c r="I99" i="9" s="1"/>
  <c r="K91" i="9"/>
  <c r="L91" i="9" s="1"/>
  <c r="K59" i="9"/>
  <c r="L59" i="9" s="1"/>
  <c r="K51" i="9"/>
  <c r="L51" i="9" s="1"/>
  <c r="H43" i="9"/>
  <c r="I43" i="9" s="1"/>
  <c r="H202" i="9"/>
  <c r="I202" i="9" s="1"/>
  <c r="K194" i="9"/>
  <c r="L194" i="9" s="1"/>
  <c r="K170" i="9"/>
  <c r="L170" i="9" s="1"/>
  <c r="K146" i="9"/>
  <c r="L146" i="9" s="1"/>
  <c r="K138" i="9"/>
  <c r="L138" i="9" s="1"/>
  <c r="H130" i="9"/>
  <c r="I130" i="9" s="1"/>
  <c r="K106" i="9"/>
  <c r="L106" i="9" s="1"/>
  <c r="H98" i="9"/>
  <c r="I98" i="9" s="1"/>
  <c r="H82" i="9"/>
  <c r="I82" i="9" s="1"/>
  <c r="H66" i="9"/>
  <c r="I66" i="9" s="1"/>
  <c r="K50" i="9"/>
  <c r="L50" i="9" s="1"/>
  <c r="H207" i="9"/>
  <c r="I207" i="9" s="1"/>
  <c r="H151" i="9"/>
  <c r="I151" i="9" s="1"/>
  <c r="H135" i="9"/>
  <c r="I135" i="9" s="1"/>
  <c r="K119" i="9"/>
  <c r="L119" i="9" s="1"/>
  <c r="K87" i="9"/>
  <c r="L87" i="9" s="1"/>
  <c r="H79" i="9"/>
  <c r="I79" i="9" s="1"/>
  <c r="K71" i="9"/>
  <c r="L71" i="9" s="1"/>
  <c r="H47" i="9"/>
  <c r="I47" i="9" s="1"/>
  <c r="H193" i="9"/>
  <c r="I193" i="9" s="1"/>
  <c r="K180" i="9"/>
  <c r="L180" i="9" s="1"/>
  <c r="K182" i="9"/>
  <c r="L182" i="9" s="1"/>
  <c r="H166" i="9"/>
  <c r="I166" i="9" s="1"/>
  <c r="H142" i="9"/>
  <c r="I142" i="9" s="1"/>
  <c r="K94" i="9"/>
  <c r="L94" i="9" s="1"/>
  <c r="H78" i="9"/>
  <c r="I78" i="9" s="1"/>
  <c r="H62" i="9"/>
  <c r="I62" i="9" s="1"/>
  <c r="K54" i="9"/>
  <c r="L54" i="9" s="1"/>
  <c r="K46" i="9"/>
  <c r="L46" i="9" s="1"/>
  <c r="H38" i="9"/>
  <c r="I38" i="9" s="1"/>
  <c r="H22" i="9"/>
  <c r="I22" i="9" s="1"/>
  <c r="K14" i="9"/>
  <c r="L14" i="9" s="1"/>
  <c r="K216" i="9"/>
  <c r="L216" i="9" s="1"/>
  <c r="K184" i="9"/>
  <c r="L184" i="9" s="1"/>
  <c r="K152" i="9"/>
  <c r="L152" i="9" s="1"/>
  <c r="K120" i="9"/>
  <c r="L120" i="9" s="1"/>
  <c r="K80" i="9"/>
  <c r="L80" i="9" s="1"/>
  <c r="K64" i="9"/>
  <c r="L64" i="9" s="1"/>
  <c r="K16" i="9"/>
  <c r="L16" i="9" s="1"/>
  <c r="H116" i="9"/>
  <c r="I116" i="9" s="1"/>
  <c r="H68" i="9"/>
  <c r="I68" i="9" s="1"/>
  <c r="H169" i="9"/>
  <c r="I169" i="9" s="1"/>
  <c r="K208" i="9"/>
  <c r="L208" i="9" s="1"/>
  <c r="K192" i="9"/>
  <c r="L192" i="9" s="1"/>
  <c r="K96" i="9"/>
  <c r="L96" i="9" s="1"/>
  <c r="K88" i="9"/>
  <c r="L88" i="9" s="1"/>
  <c r="K24" i="9"/>
  <c r="L24" i="9" s="1"/>
  <c r="H164" i="9"/>
  <c r="I164" i="9" s="1"/>
  <c r="H92" i="9"/>
  <c r="I92" i="9" s="1"/>
  <c r="K21" i="9"/>
  <c r="L21" i="9" s="1"/>
  <c r="K13" i="9"/>
  <c r="L13" i="9" s="1"/>
  <c r="H65" i="9"/>
  <c r="I65" i="9" s="1"/>
  <c r="H17" i="9"/>
  <c r="I17" i="9" s="1"/>
  <c r="H28" i="9"/>
  <c r="I28" i="9" s="1"/>
  <c r="K147" i="9"/>
  <c r="L147" i="9" s="1"/>
  <c r="H147" i="9"/>
  <c r="I147" i="9" s="1"/>
  <c r="H19" i="9"/>
  <c r="I19" i="9" s="1"/>
  <c r="K19" i="9"/>
  <c r="L19" i="9" s="1"/>
  <c r="K218" i="9"/>
  <c r="L218" i="9" s="1"/>
  <c r="H218" i="9"/>
  <c r="I218" i="9" s="1"/>
  <c r="K178" i="9"/>
  <c r="L178" i="9" s="1"/>
  <c r="H178" i="9"/>
  <c r="I178" i="9" s="1"/>
  <c r="K154" i="9"/>
  <c r="L154" i="9" s="1"/>
  <c r="H154" i="9"/>
  <c r="I154" i="9" s="1"/>
  <c r="K122" i="9"/>
  <c r="L122" i="9" s="1"/>
  <c r="H122" i="9"/>
  <c r="I122" i="9" s="1"/>
  <c r="H114" i="9"/>
  <c r="I114" i="9" s="1"/>
  <c r="K114" i="9"/>
  <c r="L114" i="9" s="1"/>
  <c r="K90" i="9"/>
  <c r="L90" i="9" s="1"/>
  <c r="H90" i="9"/>
  <c r="I90" i="9" s="1"/>
  <c r="K58" i="9"/>
  <c r="L58" i="9" s="1"/>
  <c r="H58" i="9"/>
  <c r="I58" i="9" s="1"/>
  <c r="K42" i="9"/>
  <c r="L42" i="9" s="1"/>
  <c r="H42" i="9"/>
  <c r="I42" i="9" s="1"/>
  <c r="K26" i="9"/>
  <c r="L26" i="9" s="1"/>
  <c r="H26" i="9"/>
  <c r="I26" i="9" s="1"/>
  <c r="K177" i="9"/>
  <c r="L177" i="9" s="1"/>
  <c r="H177" i="9"/>
  <c r="I177" i="9" s="1"/>
  <c r="H50" i="9"/>
  <c r="I50" i="9" s="1"/>
  <c r="K176" i="9"/>
  <c r="L176" i="9" s="1"/>
  <c r="H176" i="9"/>
  <c r="I176" i="9" s="1"/>
  <c r="K160" i="9"/>
  <c r="L160" i="9" s="1"/>
  <c r="H160" i="9"/>
  <c r="I160" i="9" s="1"/>
  <c r="K144" i="9"/>
  <c r="L144" i="9" s="1"/>
  <c r="H144" i="9"/>
  <c r="I144" i="9" s="1"/>
  <c r="K128" i="9"/>
  <c r="L128" i="9" s="1"/>
  <c r="H128" i="9"/>
  <c r="I128" i="9" s="1"/>
  <c r="K104" i="9"/>
  <c r="L104" i="9" s="1"/>
  <c r="H104" i="9"/>
  <c r="I104" i="9" s="1"/>
  <c r="K72" i="9"/>
  <c r="L72" i="9" s="1"/>
  <c r="H72" i="9"/>
  <c r="I72" i="9" s="1"/>
  <c r="K56" i="9"/>
  <c r="L56" i="9" s="1"/>
  <c r="H56" i="9"/>
  <c r="I56" i="9" s="1"/>
  <c r="K48" i="9"/>
  <c r="L48" i="9" s="1"/>
  <c r="H48" i="9"/>
  <c r="I48" i="9" s="1"/>
  <c r="K40" i="9"/>
  <c r="L40" i="9" s="1"/>
  <c r="H40" i="9"/>
  <c r="I40" i="9" s="1"/>
  <c r="K32" i="9"/>
  <c r="L32" i="9" s="1"/>
  <c r="H32" i="9"/>
  <c r="I32" i="9" s="1"/>
  <c r="K8" i="9"/>
  <c r="L8" i="9" s="1"/>
  <c r="H8" i="9"/>
  <c r="I8" i="9" s="1"/>
  <c r="H206" i="9"/>
  <c r="I206" i="9" s="1"/>
  <c r="H184" i="9"/>
  <c r="I184" i="9" s="1"/>
  <c r="H138" i="9"/>
  <c r="I138" i="9" s="1"/>
  <c r="H21" i="9"/>
  <c r="I21" i="9" s="1"/>
  <c r="K219" i="9"/>
  <c r="L219" i="9" s="1"/>
  <c r="K130" i="9"/>
  <c r="L130" i="9" s="1"/>
  <c r="K43" i="9"/>
  <c r="L43" i="9" s="1"/>
  <c r="K223" i="9"/>
  <c r="L223" i="9" s="1"/>
  <c r="H223" i="9"/>
  <c r="I223" i="9" s="1"/>
  <c r="K215" i="9"/>
  <c r="L215" i="9" s="1"/>
  <c r="H215" i="9"/>
  <c r="I215" i="9" s="1"/>
  <c r="H199" i="9"/>
  <c r="I199" i="9" s="1"/>
  <c r="K191" i="9"/>
  <c r="L191" i="9" s="1"/>
  <c r="H191" i="9"/>
  <c r="I191" i="9" s="1"/>
  <c r="K183" i="9"/>
  <c r="L183" i="9" s="1"/>
  <c r="K175" i="9"/>
  <c r="L175" i="9" s="1"/>
  <c r="H167" i="9"/>
  <c r="I167" i="9" s="1"/>
  <c r="K167" i="9"/>
  <c r="L167" i="9" s="1"/>
  <c r="K159" i="9"/>
  <c r="L159" i="9" s="1"/>
  <c r="H159" i="9"/>
  <c r="I159" i="9" s="1"/>
  <c r="K151" i="9"/>
  <c r="L151" i="9" s="1"/>
  <c r="K143" i="9"/>
  <c r="L143" i="9" s="1"/>
  <c r="H143" i="9"/>
  <c r="I143" i="9" s="1"/>
  <c r="K135" i="9"/>
  <c r="L135" i="9" s="1"/>
  <c r="K127" i="9"/>
  <c r="L127" i="9" s="1"/>
  <c r="H127" i="9"/>
  <c r="I127" i="9" s="1"/>
  <c r="H119" i="9"/>
  <c r="I119" i="9" s="1"/>
  <c r="H103" i="9"/>
  <c r="I103" i="9" s="1"/>
  <c r="K103" i="9"/>
  <c r="L103" i="9" s="1"/>
  <c r="K95" i="9"/>
  <c r="L95" i="9" s="1"/>
  <c r="H95" i="9"/>
  <c r="I95" i="9" s="1"/>
  <c r="H87" i="9"/>
  <c r="I87" i="9" s="1"/>
  <c r="K79" i="9"/>
  <c r="L79" i="9" s="1"/>
  <c r="H71" i="9"/>
  <c r="I71" i="9" s="1"/>
  <c r="K63" i="9"/>
  <c r="L63" i="9" s="1"/>
  <c r="H63" i="9"/>
  <c r="I63" i="9" s="1"/>
  <c r="K55" i="9"/>
  <c r="L55" i="9" s="1"/>
  <c r="H55" i="9"/>
  <c r="I55" i="9" s="1"/>
  <c r="K47" i="9"/>
  <c r="L47" i="9" s="1"/>
  <c r="K39" i="9"/>
  <c r="L39" i="9" s="1"/>
  <c r="H39" i="9"/>
  <c r="I39" i="9" s="1"/>
  <c r="H203" i="9"/>
  <c r="I203" i="9" s="1"/>
  <c r="H183" i="9"/>
  <c r="I183" i="9" s="1"/>
  <c r="H161" i="9"/>
  <c r="I161" i="9" s="1"/>
  <c r="H137" i="9"/>
  <c r="I137" i="9" s="1"/>
  <c r="H111" i="9"/>
  <c r="I111" i="9" s="1"/>
  <c r="H91" i="9"/>
  <c r="I91" i="9" s="1"/>
  <c r="K171" i="9"/>
  <c r="L171" i="9" s="1"/>
  <c r="K123" i="9"/>
  <c r="L123" i="9" s="1"/>
  <c r="K82" i="9"/>
  <c r="L82" i="9" s="1"/>
  <c r="K36" i="9"/>
  <c r="L36" i="9" s="1"/>
  <c r="K211" i="9"/>
  <c r="L211" i="9" s="1"/>
  <c r="H211" i="9"/>
  <c r="I211" i="9" s="1"/>
  <c r="K195" i="9"/>
  <c r="L195" i="9" s="1"/>
  <c r="H195" i="9"/>
  <c r="I195" i="9" s="1"/>
  <c r="K187" i="9"/>
  <c r="L187" i="9" s="1"/>
  <c r="H187" i="9"/>
  <c r="I187" i="9" s="1"/>
  <c r="H163" i="9"/>
  <c r="I163" i="9" s="1"/>
  <c r="K163" i="9"/>
  <c r="L163" i="9" s="1"/>
  <c r="H139" i="9"/>
  <c r="I139" i="9" s="1"/>
  <c r="K139" i="9"/>
  <c r="L139" i="9" s="1"/>
  <c r="K83" i="9"/>
  <c r="L83" i="9" s="1"/>
  <c r="H83" i="9"/>
  <c r="I83" i="9" s="1"/>
  <c r="H67" i="9"/>
  <c r="I67" i="9" s="1"/>
  <c r="K67" i="9"/>
  <c r="L67" i="9" s="1"/>
  <c r="H11" i="9"/>
  <c r="I11" i="9" s="1"/>
  <c r="K11" i="9"/>
  <c r="L11" i="9" s="1"/>
  <c r="K186" i="9"/>
  <c r="L186" i="9" s="1"/>
  <c r="H186" i="9"/>
  <c r="I186" i="9" s="1"/>
  <c r="K162" i="9"/>
  <c r="L162" i="9" s="1"/>
  <c r="H162" i="9"/>
  <c r="I162" i="9" s="1"/>
  <c r="K74" i="9"/>
  <c r="L74" i="9" s="1"/>
  <c r="H74" i="9"/>
  <c r="I74" i="9" s="1"/>
  <c r="K18" i="9"/>
  <c r="L18" i="9" s="1"/>
  <c r="H18" i="9"/>
  <c r="I18" i="9" s="1"/>
  <c r="H146" i="9"/>
  <c r="I146" i="9" s="1"/>
  <c r="K209" i="9"/>
  <c r="L209" i="9" s="1"/>
  <c r="H209" i="9"/>
  <c r="I209" i="9" s="1"/>
  <c r="K200" i="9"/>
  <c r="L200" i="9" s="1"/>
  <c r="H200" i="9"/>
  <c r="I200" i="9" s="1"/>
  <c r="K168" i="9"/>
  <c r="L168" i="9" s="1"/>
  <c r="H168" i="9"/>
  <c r="I168" i="9" s="1"/>
  <c r="H222" i="9"/>
  <c r="I222" i="9" s="1"/>
  <c r="K222" i="9"/>
  <c r="L222" i="9" s="1"/>
  <c r="H190" i="9"/>
  <c r="I190" i="9" s="1"/>
  <c r="K166" i="9"/>
  <c r="L166" i="9" s="1"/>
  <c r="H150" i="9"/>
  <c r="I150" i="9" s="1"/>
  <c r="K126" i="9"/>
  <c r="L126" i="9" s="1"/>
  <c r="K110" i="9"/>
  <c r="L110" i="9" s="1"/>
  <c r="H94" i="9"/>
  <c r="I94" i="9" s="1"/>
  <c r="K78" i="9"/>
  <c r="L78" i="9" s="1"/>
  <c r="H14" i="9"/>
  <c r="I14" i="9" s="1"/>
  <c r="H201" i="9"/>
  <c r="I201" i="9" s="1"/>
  <c r="H88" i="9"/>
  <c r="I88" i="9" s="1"/>
  <c r="H64" i="9"/>
  <c r="I64" i="9" s="1"/>
  <c r="H16" i="9"/>
  <c r="I16" i="9" s="1"/>
  <c r="K213" i="9"/>
  <c r="L213" i="9" s="1"/>
  <c r="H213" i="9"/>
  <c r="I213" i="9" s="1"/>
  <c r="K197" i="9"/>
  <c r="L197" i="9" s="1"/>
  <c r="H197" i="9"/>
  <c r="I197" i="9" s="1"/>
  <c r="K181" i="9"/>
  <c r="L181" i="9" s="1"/>
  <c r="H181" i="9"/>
  <c r="I181" i="9" s="1"/>
  <c r="K165" i="9"/>
  <c r="L165" i="9" s="1"/>
  <c r="H165" i="9"/>
  <c r="I165" i="9" s="1"/>
  <c r="K141" i="9"/>
  <c r="L141" i="9" s="1"/>
  <c r="H141" i="9"/>
  <c r="I141" i="9" s="1"/>
  <c r="K125" i="9"/>
  <c r="L125" i="9" s="1"/>
  <c r="H125" i="9"/>
  <c r="I125" i="9" s="1"/>
  <c r="K109" i="9"/>
  <c r="L109" i="9" s="1"/>
  <c r="H109" i="9"/>
  <c r="I109" i="9" s="1"/>
  <c r="K93" i="9"/>
  <c r="L93" i="9" s="1"/>
  <c r="H93" i="9"/>
  <c r="I93" i="9" s="1"/>
  <c r="K69" i="9"/>
  <c r="L69" i="9" s="1"/>
  <c r="H69" i="9"/>
  <c r="I69" i="9" s="1"/>
  <c r="K53" i="9"/>
  <c r="L53" i="9" s="1"/>
  <c r="H53" i="9"/>
  <c r="I53" i="9" s="1"/>
  <c r="K37" i="9"/>
  <c r="L37" i="9" s="1"/>
  <c r="H37" i="9"/>
  <c r="I37" i="9" s="1"/>
  <c r="H217" i="9"/>
  <c r="I217" i="9" s="1"/>
  <c r="H179" i="9"/>
  <c r="I179" i="9" s="1"/>
  <c r="H153" i="9"/>
  <c r="I153" i="9" s="1"/>
  <c r="H107" i="9"/>
  <c r="I107" i="9" s="1"/>
  <c r="H13" i="9"/>
  <c r="I13" i="9" s="1"/>
  <c r="K202" i="9"/>
  <c r="L202" i="9" s="1"/>
  <c r="K155" i="9"/>
  <c r="L155" i="9" s="1"/>
  <c r="H131" i="9"/>
  <c r="I131" i="9" s="1"/>
  <c r="K131" i="9"/>
  <c r="L131" i="9" s="1"/>
  <c r="K115" i="9"/>
  <c r="L115" i="9" s="1"/>
  <c r="H115" i="9"/>
  <c r="I115" i="9" s="1"/>
  <c r="H75" i="9"/>
  <c r="I75" i="9" s="1"/>
  <c r="K75" i="9"/>
  <c r="L75" i="9" s="1"/>
  <c r="K27" i="9"/>
  <c r="L27" i="9" s="1"/>
  <c r="H27" i="9"/>
  <c r="I27" i="9" s="1"/>
  <c r="K99" i="9"/>
  <c r="L99" i="9" s="1"/>
  <c r="K210" i="9"/>
  <c r="L210" i="9" s="1"/>
  <c r="H210" i="9"/>
  <c r="I210" i="9" s="1"/>
  <c r="H51" i="9"/>
  <c r="I51" i="9" s="1"/>
  <c r="K98" i="9"/>
  <c r="L98" i="9" s="1"/>
  <c r="K185" i="9"/>
  <c r="L185" i="9" s="1"/>
  <c r="H185" i="9"/>
  <c r="I185" i="9" s="1"/>
  <c r="K145" i="9"/>
  <c r="L145" i="9" s="1"/>
  <c r="H145" i="9"/>
  <c r="I145" i="9" s="1"/>
  <c r="K136" i="9"/>
  <c r="L136" i="9" s="1"/>
  <c r="H136" i="9"/>
  <c r="I136" i="9" s="1"/>
  <c r="K112" i="9"/>
  <c r="L112" i="9" s="1"/>
  <c r="H112" i="9"/>
  <c r="I112" i="9" s="1"/>
  <c r="H214" i="9"/>
  <c r="I214" i="9" s="1"/>
  <c r="K214" i="9"/>
  <c r="L214" i="9" s="1"/>
  <c r="K198" i="9"/>
  <c r="L198" i="9" s="1"/>
  <c r="H198" i="9"/>
  <c r="I198" i="9" s="1"/>
  <c r="H182" i="9"/>
  <c r="I182" i="9" s="1"/>
  <c r="H174" i="9"/>
  <c r="I174" i="9" s="1"/>
  <c r="K158" i="9"/>
  <c r="L158" i="9" s="1"/>
  <c r="H158" i="9"/>
  <c r="I158" i="9" s="1"/>
  <c r="K142" i="9"/>
  <c r="L142" i="9" s="1"/>
  <c r="K134" i="9"/>
  <c r="L134" i="9" s="1"/>
  <c r="H134" i="9"/>
  <c r="I134" i="9" s="1"/>
  <c r="K118" i="9"/>
  <c r="L118" i="9" s="1"/>
  <c r="H118" i="9"/>
  <c r="I118" i="9" s="1"/>
  <c r="K102" i="9"/>
  <c r="L102" i="9" s="1"/>
  <c r="H86" i="9"/>
  <c r="I86" i="9" s="1"/>
  <c r="K86" i="9"/>
  <c r="L86" i="9" s="1"/>
  <c r="H46" i="9"/>
  <c r="I46" i="9" s="1"/>
  <c r="K30" i="9"/>
  <c r="L30" i="9" s="1"/>
  <c r="H110" i="9"/>
  <c r="I110" i="9" s="1"/>
  <c r="K35" i="9"/>
  <c r="L35" i="9" s="1"/>
  <c r="K221" i="9"/>
  <c r="L221" i="9" s="1"/>
  <c r="H221" i="9"/>
  <c r="I221" i="9" s="1"/>
  <c r="K205" i="9"/>
  <c r="L205" i="9" s="1"/>
  <c r="H205" i="9"/>
  <c r="I205" i="9" s="1"/>
  <c r="K189" i="9"/>
  <c r="L189" i="9" s="1"/>
  <c r="H189" i="9"/>
  <c r="I189" i="9" s="1"/>
  <c r="K173" i="9"/>
  <c r="L173" i="9" s="1"/>
  <c r="H173" i="9"/>
  <c r="I173" i="9" s="1"/>
  <c r="K157" i="9"/>
  <c r="L157" i="9" s="1"/>
  <c r="H157" i="9"/>
  <c r="I157" i="9" s="1"/>
  <c r="K149" i="9"/>
  <c r="L149" i="9" s="1"/>
  <c r="H149" i="9"/>
  <c r="I149" i="9" s="1"/>
  <c r="K133" i="9"/>
  <c r="L133" i="9" s="1"/>
  <c r="H133" i="9"/>
  <c r="I133" i="9" s="1"/>
  <c r="K117" i="9"/>
  <c r="L117" i="9" s="1"/>
  <c r="H117" i="9"/>
  <c r="I117" i="9" s="1"/>
  <c r="K101" i="9"/>
  <c r="L101" i="9" s="1"/>
  <c r="H101" i="9"/>
  <c r="I101" i="9" s="1"/>
  <c r="K85" i="9"/>
  <c r="L85" i="9" s="1"/>
  <c r="H85" i="9"/>
  <c r="I85" i="9" s="1"/>
  <c r="K77" i="9"/>
  <c r="L77" i="9" s="1"/>
  <c r="H77" i="9"/>
  <c r="I77" i="9" s="1"/>
  <c r="K61" i="9"/>
  <c r="L61" i="9" s="1"/>
  <c r="H61" i="9"/>
  <c r="I61" i="9" s="1"/>
  <c r="K45" i="9"/>
  <c r="L45" i="9" s="1"/>
  <c r="H45" i="9"/>
  <c r="I45" i="9" s="1"/>
  <c r="K29" i="9"/>
  <c r="L29" i="9" s="1"/>
  <c r="H29" i="9"/>
  <c r="I29" i="9" s="1"/>
  <c r="K220" i="9"/>
  <c r="L220" i="9" s="1"/>
  <c r="K212" i="9"/>
  <c r="L212" i="9" s="1"/>
  <c r="K204" i="9"/>
  <c r="L204" i="9" s="1"/>
  <c r="H204" i="9"/>
  <c r="I204" i="9" s="1"/>
  <c r="K196" i="9"/>
  <c r="L196" i="9" s="1"/>
  <c r="K188" i="9"/>
  <c r="L188" i="9" s="1"/>
  <c r="K172" i="9"/>
  <c r="L172" i="9" s="1"/>
  <c r="H172" i="9"/>
  <c r="I172" i="9" s="1"/>
  <c r="K156" i="9"/>
  <c r="L156" i="9" s="1"/>
  <c r="H156" i="9"/>
  <c r="I156" i="9" s="1"/>
  <c r="H148" i="9"/>
  <c r="I148" i="9" s="1"/>
  <c r="K140" i="9"/>
  <c r="L140" i="9" s="1"/>
  <c r="H140" i="9"/>
  <c r="I140" i="9" s="1"/>
  <c r="K132" i="9"/>
  <c r="L132" i="9" s="1"/>
  <c r="K124" i="9"/>
  <c r="L124" i="9" s="1"/>
  <c r="K108" i="9"/>
  <c r="L108" i="9" s="1"/>
  <c r="H108" i="9"/>
  <c r="I108" i="9" s="1"/>
  <c r="K100" i="9"/>
  <c r="L100" i="9" s="1"/>
  <c r="H100" i="9"/>
  <c r="I100" i="9" s="1"/>
  <c r="K92" i="9"/>
  <c r="L92" i="9" s="1"/>
  <c r="H84" i="9"/>
  <c r="I84" i="9" s="1"/>
  <c r="K84" i="9"/>
  <c r="L84" i="9" s="1"/>
  <c r="K76" i="9"/>
  <c r="L76" i="9" s="1"/>
  <c r="H76" i="9"/>
  <c r="I76" i="9" s="1"/>
  <c r="K60" i="9"/>
  <c r="L60" i="9" s="1"/>
  <c r="H60" i="9"/>
  <c r="I60" i="9" s="1"/>
  <c r="K52" i="9"/>
  <c r="L52" i="9" s="1"/>
  <c r="K44" i="9"/>
  <c r="L44" i="9" s="1"/>
  <c r="H44" i="9"/>
  <c r="I44" i="9" s="1"/>
  <c r="K20" i="9"/>
  <c r="L20" i="9" s="1"/>
  <c r="H20" i="9"/>
  <c r="I20" i="9" s="1"/>
  <c r="K12" i="9"/>
  <c r="L12" i="9" s="1"/>
  <c r="H12" i="9"/>
  <c r="I12" i="9" s="1"/>
  <c r="H216" i="9"/>
  <c r="I216" i="9" s="1"/>
  <c r="H194" i="9"/>
  <c r="I194" i="9" s="1"/>
  <c r="H175" i="9"/>
  <c r="I175" i="9" s="1"/>
  <c r="H152" i="9"/>
  <c r="I152" i="9" s="1"/>
  <c r="H126" i="9"/>
  <c r="I126" i="9" s="1"/>
  <c r="H106" i="9"/>
  <c r="I106" i="9" s="1"/>
  <c r="H80" i="9"/>
  <c r="I80" i="9" s="1"/>
  <c r="H59" i="9"/>
  <c r="I59" i="9" s="1"/>
  <c r="H34" i="9"/>
  <c r="I34" i="9" s="1"/>
  <c r="K199" i="9"/>
  <c r="L199" i="9" s="1"/>
  <c r="K150" i="9"/>
  <c r="L150" i="9" s="1"/>
  <c r="K66" i="9"/>
  <c r="L66" i="9" s="1"/>
  <c r="K129" i="9"/>
  <c r="L129" i="9" s="1"/>
  <c r="K121" i="9"/>
  <c r="L121" i="9" s="1"/>
  <c r="H121" i="9"/>
  <c r="I121" i="9" s="1"/>
  <c r="K113" i="9"/>
  <c r="L113" i="9" s="1"/>
  <c r="H113" i="9"/>
  <c r="I113" i="9" s="1"/>
  <c r="K105" i="9"/>
  <c r="L105" i="9" s="1"/>
  <c r="K97" i="9"/>
  <c r="L97" i="9" s="1"/>
  <c r="K89" i="9"/>
  <c r="L89" i="9" s="1"/>
  <c r="K81" i="9"/>
  <c r="L81" i="9" s="1"/>
  <c r="H81" i="9"/>
  <c r="I81" i="9" s="1"/>
  <c r="K73" i="9"/>
  <c r="L73" i="9" s="1"/>
  <c r="K65" i="9"/>
  <c r="L65" i="9" s="1"/>
  <c r="K57" i="9"/>
  <c r="L57" i="9" s="1"/>
  <c r="H57" i="9"/>
  <c r="I57" i="9" s="1"/>
  <c r="K49" i="9"/>
  <c r="L49" i="9" s="1"/>
  <c r="H49" i="9"/>
  <c r="I49" i="9" s="1"/>
  <c r="K41" i="9"/>
  <c r="L41" i="9" s="1"/>
  <c r="K33" i="9"/>
  <c r="L33" i="9" s="1"/>
  <c r="K25" i="9"/>
  <c r="L25" i="9" s="1"/>
  <c r="K9" i="9"/>
  <c r="L9" i="9" s="1"/>
  <c r="H9" i="9"/>
  <c r="I9" i="9" s="1"/>
  <c r="H105" i="9"/>
  <c r="I105" i="9" s="1"/>
  <c r="H89" i="9"/>
  <c r="I89" i="9" s="1"/>
  <c r="K31" i="9"/>
  <c r="L31" i="9" s="1"/>
  <c r="H31" i="9"/>
  <c r="I31" i="9" s="1"/>
  <c r="K23" i="9"/>
  <c r="L23" i="9" s="1"/>
  <c r="K15" i="9"/>
  <c r="L15" i="9" s="1"/>
  <c r="H15" i="9"/>
  <c r="I15" i="9" s="1"/>
  <c r="H129" i="9"/>
  <c r="I129" i="9" s="1"/>
  <c r="K70" i="9"/>
  <c r="L70" i="9" s="1"/>
  <c r="H54" i="9"/>
  <c r="I54" i="9" s="1"/>
  <c r="K38" i="9"/>
  <c r="L38" i="9" s="1"/>
  <c r="H30" i="9"/>
  <c r="I30" i="9" s="1"/>
  <c r="K22" i="9"/>
  <c r="L22" i="9" s="1"/>
  <c r="H70" i="9"/>
  <c r="I70" i="9" s="1"/>
  <c r="H41" i="9"/>
  <c r="I41" i="9" s="1"/>
  <c r="H23" i="9"/>
  <c r="I23" i="9" s="1"/>
  <c r="H25" i="9"/>
  <c r="I25" i="9" s="1"/>
  <c r="H24" i="9"/>
  <c r="I24" i="9" s="1"/>
  <c r="D7" i="9" l="1"/>
  <c r="K7" i="9" l="1"/>
  <c r="H7" i="9"/>
  <c r="M224" i="1"/>
  <c r="L8" i="1"/>
  <c r="L9" i="1"/>
  <c r="M9" i="1" s="1"/>
  <c r="L10" i="1"/>
  <c r="M10" i="1" s="1"/>
  <c r="L11" i="1"/>
  <c r="M11" i="1" s="1"/>
  <c r="L12" i="1"/>
  <c r="M12" i="1" s="1"/>
  <c r="L13" i="1"/>
  <c r="M13" i="1" s="1"/>
  <c r="L14" i="1"/>
  <c r="M14" i="1" s="1"/>
  <c r="L15" i="1"/>
  <c r="M15" i="1" s="1"/>
  <c r="L16" i="1"/>
  <c r="M16" i="1" s="1"/>
  <c r="L17" i="1"/>
  <c r="M17" i="1" s="1"/>
  <c r="L18" i="1"/>
  <c r="M18" i="1" s="1"/>
  <c r="L19" i="1"/>
  <c r="M19" i="1" s="1"/>
  <c r="L20" i="1"/>
  <c r="M20" i="1" s="1"/>
  <c r="L21" i="1"/>
  <c r="M21" i="1" s="1"/>
  <c r="L22" i="1"/>
  <c r="M22" i="1" s="1"/>
  <c r="L23" i="1"/>
  <c r="M23" i="1" s="1"/>
  <c r="L24" i="1"/>
  <c r="M24" i="1" s="1"/>
  <c r="L25" i="1"/>
  <c r="M25" i="1" s="1"/>
  <c r="L26" i="1"/>
  <c r="M26" i="1" s="1"/>
  <c r="L27" i="1"/>
  <c r="M27" i="1" s="1"/>
  <c r="L28" i="1"/>
  <c r="M28" i="1" s="1"/>
  <c r="L29" i="1"/>
  <c r="M29" i="1" s="1"/>
  <c r="L30" i="1"/>
  <c r="M30" i="1" s="1"/>
  <c r="L31" i="1"/>
  <c r="M31" i="1" s="1"/>
  <c r="L32" i="1"/>
  <c r="M32" i="1" s="1"/>
  <c r="L33" i="1"/>
  <c r="M33" i="1" s="1"/>
  <c r="L34" i="1"/>
  <c r="M34" i="1" s="1"/>
  <c r="L35" i="1"/>
  <c r="M35" i="1" s="1"/>
  <c r="L36" i="1"/>
  <c r="M36" i="1" s="1"/>
  <c r="L37" i="1"/>
  <c r="M37" i="1" s="1"/>
  <c r="L38" i="1"/>
  <c r="M38" i="1" s="1"/>
  <c r="L39" i="1"/>
  <c r="M39" i="1" s="1"/>
  <c r="L40" i="1"/>
  <c r="M40" i="1" s="1"/>
  <c r="L41" i="1"/>
  <c r="M41" i="1" s="1"/>
  <c r="L42" i="1"/>
  <c r="M42" i="1" s="1"/>
  <c r="L43" i="1"/>
  <c r="M43" i="1" s="1"/>
  <c r="L44" i="1"/>
  <c r="M44" i="1" s="1"/>
  <c r="L45" i="1"/>
  <c r="M45" i="1" s="1"/>
  <c r="L46" i="1"/>
  <c r="M46" i="1" s="1"/>
  <c r="L47" i="1"/>
  <c r="M47" i="1" s="1"/>
  <c r="L48" i="1"/>
  <c r="M48" i="1" s="1"/>
  <c r="L49" i="1"/>
  <c r="M49" i="1" s="1"/>
  <c r="L50" i="1"/>
  <c r="M50" i="1" s="1"/>
  <c r="L51" i="1"/>
  <c r="M51" i="1" s="1"/>
  <c r="L52" i="1"/>
  <c r="M52" i="1" s="1"/>
  <c r="L53" i="1"/>
  <c r="M53" i="1" s="1"/>
  <c r="L54" i="1"/>
  <c r="M54" i="1" s="1"/>
  <c r="L55" i="1"/>
  <c r="M55" i="1" s="1"/>
  <c r="L56" i="1"/>
  <c r="M56" i="1" s="1"/>
  <c r="L57" i="1"/>
  <c r="M57" i="1" s="1"/>
  <c r="L58" i="1"/>
  <c r="M58" i="1" s="1"/>
  <c r="L59" i="1"/>
  <c r="M59" i="1" s="1"/>
  <c r="L60" i="1"/>
  <c r="M60" i="1" s="1"/>
  <c r="L61" i="1"/>
  <c r="M61" i="1" s="1"/>
  <c r="L62" i="1"/>
  <c r="M62" i="1" s="1"/>
  <c r="L63" i="1"/>
  <c r="M63" i="1" s="1"/>
  <c r="L64" i="1"/>
  <c r="M64" i="1" s="1"/>
  <c r="L65" i="1"/>
  <c r="M65" i="1" s="1"/>
  <c r="L66" i="1"/>
  <c r="M66" i="1" s="1"/>
  <c r="L67" i="1"/>
  <c r="M67" i="1" s="1"/>
  <c r="L68" i="1"/>
  <c r="M68" i="1" s="1"/>
  <c r="L69" i="1"/>
  <c r="M69" i="1" s="1"/>
  <c r="L70" i="1"/>
  <c r="M70" i="1" s="1"/>
  <c r="L71" i="1"/>
  <c r="M71" i="1" s="1"/>
  <c r="L72" i="1"/>
  <c r="M72" i="1" s="1"/>
  <c r="L73" i="1"/>
  <c r="M73" i="1" s="1"/>
  <c r="L74" i="1"/>
  <c r="M74" i="1" s="1"/>
  <c r="L75" i="1"/>
  <c r="M75" i="1" s="1"/>
  <c r="L76" i="1"/>
  <c r="M76" i="1" s="1"/>
  <c r="L77" i="1"/>
  <c r="M77" i="1" s="1"/>
  <c r="L78" i="1"/>
  <c r="M78" i="1" s="1"/>
  <c r="L79" i="1"/>
  <c r="M79" i="1" s="1"/>
  <c r="L80" i="1"/>
  <c r="M80" i="1" s="1"/>
  <c r="L81" i="1"/>
  <c r="M81" i="1" s="1"/>
  <c r="L82" i="1"/>
  <c r="M82" i="1" s="1"/>
  <c r="L83" i="1"/>
  <c r="M83" i="1" s="1"/>
  <c r="L84" i="1"/>
  <c r="M84" i="1" s="1"/>
  <c r="L85" i="1"/>
  <c r="M85" i="1" s="1"/>
  <c r="L86" i="1"/>
  <c r="M86" i="1" s="1"/>
  <c r="L87" i="1"/>
  <c r="M87" i="1" s="1"/>
  <c r="L88" i="1"/>
  <c r="M88" i="1" s="1"/>
  <c r="L89" i="1"/>
  <c r="M89" i="1" s="1"/>
  <c r="L90" i="1"/>
  <c r="M90" i="1" s="1"/>
  <c r="L91" i="1"/>
  <c r="M91" i="1" s="1"/>
  <c r="L92" i="1"/>
  <c r="M92" i="1" s="1"/>
  <c r="L93" i="1"/>
  <c r="M93" i="1" s="1"/>
  <c r="L94" i="1"/>
  <c r="M94" i="1" s="1"/>
  <c r="L95" i="1"/>
  <c r="M95" i="1" s="1"/>
  <c r="L96" i="1"/>
  <c r="M96" i="1" s="1"/>
  <c r="L97" i="1"/>
  <c r="M97" i="1" s="1"/>
  <c r="L98" i="1"/>
  <c r="M98" i="1" s="1"/>
  <c r="L99" i="1"/>
  <c r="M99" i="1" s="1"/>
  <c r="L100" i="1"/>
  <c r="M100" i="1" s="1"/>
  <c r="L101" i="1"/>
  <c r="M101" i="1" s="1"/>
  <c r="L102" i="1"/>
  <c r="M102" i="1" s="1"/>
  <c r="L103" i="1"/>
  <c r="M103" i="1" s="1"/>
  <c r="L104" i="1"/>
  <c r="M104" i="1" s="1"/>
  <c r="L105" i="1"/>
  <c r="M105" i="1" s="1"/>
  <c r="L106" i="1"/>
  <c r="M106" i="1" s="1"/>
  <c r="L107" i="1"/>
  <c r="M107" i="1" s="1"/>
  <c r="L108" i="1"/>
  <c r="M108" i="1" s="1"/>
  <c r="L109" i="1"/>
  <c r="M109" i="1" s="1"/>
  <c r="L110" i="1"/>
  <c r="M110" i="1" s="1"/>
  <c r="L111" i="1"/>
  <c r="M111" i="1" s="1"/>
  <c r="L112" i="1"/>
  <c r="M112" i="1" s="1"/>
  <c r="L113" i="1"/>
  <c r="M113" i="1" s="1"/>
  <c r="L114" i="1"/>
  <c r="M114" i="1" s="1"/>
  <c r="L115" i="1"/>
  <c r="M115" i="1" s="1"/>
  <c r="L116" i="1"/>
  <c r="M116" i="1" s="1"/>
  <c r="L117" i="1"/>
  <c r="M117" i="1" s="1"/>
  <c r="L118" i="1"/>
  <c r="M118" i="1" s="1"/>
  <c r="L119" i="1"/>
  <c r="M119" i="1" s="1"/>
  <c r="L120" i="1"/>
  <c r="M120" i="1" s="1"/>
  <c r="L121" i="1"/>
  <c r="M121" i="1" s="1"/>
  <c r="L122" i="1"/>
  <c r="M122" i="1" s="1"/>
  <c r="L123" i="1"/>
  <c r="M123" i="1" s="1"/>
  <c r="L124" i="1"/>
  <c r="M124" i="1" s="1"/>
  <c r="L125" i="1"/>
  <c r="M125" i="1" s="1"/>
  <c r="L126" i="1"/>
  <c r="M126" i="1" s="1"/>
  <c r="L127" i="1"/>
  <c r="M127" i="1" s="1"/>
  <c r="L128" i="1"/>
  <c r="M128" i="1" s="1"/>
  <c r="L129" i="1"/>
  <c r="M129" i="1" s="1"/>
  <c r="L130" i="1"/>
  <c r="M130" i="1" s="1"/>
  <c r="L131" i="1"/>
  <c r="M131" i="1" s="1"/>
  <c r="L132" i="1"/>
  <c r="M132" i="1" s="1"/>
  <c r="L133" i="1"/>
  <c r="M133" i="1" s="1"/>
  <c r="L134" i="1"/>
  <c r="M134" i="1" s="1"/>
  <c r="L135" i="1"/>
  <c r="M135" i="1" s="1"/>
  <c r="L136" i="1"/>
  <c r="M136" i="1" s="1"/>
  <c r="L137" i="1"/>
  <c r="M137" i="1" s="1"/>
  <c r="L138" i="1"/>
  <c r="M138" i="1" s="1"/>
  <c r="L139" i="1"/>
  <c r="M139" i="1" s="1"/>
  <c r="L140" i="1"/>
  <c r="M140" i="1" s="1"/>
  <c r="L141" i="1"/>
  <c r="M141" i="1" s="1"/>
  <c r="L142" i="1"/>
  <c r="M142" i="1" s="1"/>
  <c r="L143" i="1"/>
  <c r="M143" i="1" s="1"/>
  <c r="L144" i="1"/>
  <c r="M144" i="1" s="1"/>
  <c r="L145" i="1"/>
  <c r="M145" i="1" s="1"/>
  <c r="L146" i="1"/>
  <c r="M146" i="1" s="1"/>
  <c r="L147" i="1"/>
  <c r="M147" i="1" s="1"/>
  <c r="L148" i="1"/>
  <c r="M148" i="1" s="1"/>
  <c r="L149" i="1"/>
  <c r="M149" i="1" s="1"/>
  <c r="L150" i="1"/>
  <c r="M150" i="1" s="1"/>
  <c r="L151" i="1"/>
  <c r="M151" i="1" s="1"/>
  <c r="L152" i="1"/>
  <c r="M152" i="1" s="1"/>
  <c r="L153" i="1"/>
  <c r="M153" i="1" s="1"/>
  <c r="L154" i="1"/>
  <c r="M154" i="1" s="1"/>
  <c r="L155" i="1"/>
  <c r="M155" i="1" s="1"/>
  <c r="L156" i="1"/>
  <c r="M156" i="1" s="1"/>
  <c r="L157" i="1"/>
  <c r="M157" i="1" s="1"/>
  <c r="L158" i="1"/>
  <c r="M158" i="1" s="1"/>
  <c r="L159" i="1"/>
  <c r="M159" i="1" s="1"/>
  <c r="L160" i="1"/>
  <c r="M160" i="1" s="1"/>
  <c r="L161" i="1"/>
  <c r="M161" i="1" s="1"/>
  <c r="L162" i="1"/>
  <c r="M162" i="1" s="1"/>
  <c r="L163" i="1"/>
  <c r="M163" i="1" s="1"/>
  <c r="L164" i="1"/>
  <c r="M164" i="1" s="1"/>
  <c r="L165" i="1"/>
  <c r="M165" i="1" s="1"/>
  <c r="L166" i="1"/>
  <c r="M166" i="1" s="1"/>
  <c r="L167" i="1"/>
  <c r="M167" i="1" s="1"/>
  <c r="L168" i="1"/>
  <c r="M168" i="1" s="1"/>
  <c r="L169" i="1"/>
  <c r="M169" i="1" s="1"/>
  <c r="L170" i="1"/>
  <c r="M170" i="1" s="1"/>
  <c r="L171" i="1"/>
  <c r="M171" i="1" s="1"/>
  <c r="L172" i="1"/>
  <c r="M172" i="1" s="1"/>
  <c r="L173" i="1"/>
  <c r="M173" i="1" s="1"/>
  <c r="L174" i="1"/>
  <c r="M174" i="1" s="1"/>
  <c r="L175" i="1"/>
  <c r="M175" i="1" s="1"/>
  <c r="L176" i="1"/>
  <c r="M176" i="1" s="1"/>
  <c r="L177" i="1"/>
  <c r="M177" i="1" s="1"/>
  <c r="L178" i="1"/>
  <c r="M178" i="1" s="1"/>
  <c r="L179" i="1"/>
  <c r="M179" i="1" s="1"/>
  <c r="L180" i="1"/>
  <c r="M180" i="1" s="1"/>
  <c r="L181" i="1"/>
  <c r="M181" i="1" s="1"/>
  <c r="L182" i="1"/>
  <c r="M182" i="1" s="1"/>
  <c r="L183" i="1"/>
  <c r="M183" i="1" s="1"/>
  <c r="L184" i="1"/>
  <c r="M184" i="1" s="1"/>
  <c r="L185" i="1"/>
  <c r="M185" i="1" s="1"/>
  <c r="L186" i="1"/>
  <c r="M186" i="1" s="1"/>
  <c r="L187" i="1"/>
  <c r="M187" i="1" s="1"/>
  <c r="L188" i="1"/>
  <c r="M188" i="1" s="1"/>
  <c r="L189" i="1"/>
  <c r="M189" i="1" s="1"/>
  <c r="L190" i="1"/>
  <c r="M190" i="1" s="1"/>
  <c r="L191" i="1"/>
  <c r="M191" i="1" s="1"/>
  <c r="L192" i="1"/>
  <c r="M192" i="1" s="1"/>
  <c r="L193" i="1"/>
  <c r="M193" i="1" s="1"/>
  <c r="L194" i="1"/>
  <c r="M194" i="1" s="1"/>
  <c r="L195" i="1"/>
  <c r="M195" i="1" s="1"/>
  <c r="L196" i="1"/>
  <c r="M196" i="1" s="1"/>
  <c r="L197" i="1"/>
  <c r="M197" i="1" s="1"/>
  <c r="L198" i="1"/>
  <c r="M198" i="1" s="1"/>
  <c r="L199" i="1"/>
  <c r="M199" i="1" s="1"/>
  <c r="L200" i="1"/>
  <c r="M200" i="1" s="1"/>
  <c r="L201" i="1"/>
  <c r="M201" i="1" s="1"/>
  <c r="L202" i="1"/>
  <c r="M202" i="1" s="1"/>
  <c r="L203" i="1"/>
  <c r="M203" i="1" s="1"/>
  <c r="L204" i="1"/>
  <c r="M204" i="1" s="1"/>
  <c r="L205" i="1"/>
  <c r="M205" i="1" s="1"/>
  <c r="L206" i="1"/>
  <c r="M206" i="1" s="1"/>
  <c r="L207" i="1"/>
  <c r="M207" i="1" s="1"/>
  <c r="L208" i="1"/>
  <c r="M208" i="1" s="1"/>
  <c r="L209" i="1"/>
  <c r="M209" i="1" s="1"/>
  <c r="L210" i="1"/>
  <c r="M210" i="1" s="1"/>
  <c r="L211" i="1"/>
  <c r="M211" i="1" s="1"/>
  <c r="L212" i="1"/>
  <c r="M212" i="1" s="1"/>
  <c r="L213" i="1"/>
  <c r="M213" i="1" s="1"/>
  <c r="L214" i="1"/>
  <c r="M214" i="1" s="1"/>
  <c r="L215" i="1"/>
  <c r="M215" i="1" s="1"/>
  <c r="L216" i="1"/>
  <c r="M216" i="1" s="1"/>
  <c r="L217" i="1"/>
  <c r="M217" i="1" s="1"/>
  <c r="L218" i="1"/>
  <c r="M218" i="1" s="1"/>
  <c r="L219" i="1"/>
  <c r="M219" i="1" s="1"/>
  <c r="L220" i="1"/>
  <c r="M220" i="1" s="1"/>
  <c r="L221" i="1"/>
  <c r="M221" i="1" s="1"/>
  <c r="L222" i="1"/>
  <c r="M222" i="1" s="1"/>
  <c r="L223" i="1"/>
  <c r="M223" i="1" s="1"/>
  <c r="L224" i="1"/>
  <c r="L225" i="1"/>
  <c r="M225" i="1" s="1"/>
  <c r="L226" i="1"/>
  <c r="M226" i="1" s="1"/>
  <c r="L7" i="1"/>
  <c r="M7" i="1" s="1"/>
  <c r="H8" i="1"/>
  <c r="H9" i="1"/>
  <c r="I9" i="1" s="1"/>
  <c r="H10" i="1"/>
  <c r="I10" i="1" s="1"/>
  <c r="H11" i="1"/>
  <c r="I11" i="1" s="1"/>
  <c r="H12" i="1"/>
  <c r="H13" i="1"/>
  <c r="I13" i="1" s="1"/>
  <c r="H14" i="1"/>
  <c r="I14" i="1" s="1"/>
  <c r="H15" i="1"/>
  <c r="I15" i="1" s="1"/>
  <c r="H16" i="1"/>
  <c r="I16" i="1" s="1"/>
  <c r="H17" i="1"/>
  <c r="I17" i="1" s="1"/>
  <c r="H18" i="1"/>
  <c r="I18" i="1" s="1"/>
  <c r="H19" i="1"/>
  <c r="I19" i="1" s="1"/>
  <c r="H20" i="1"/>
  <c r="I20" i="1" s="1"/>
  <c r="H21" i="1"/>
  <c r="I21" i="1" s="1"/>
  <c r="H22" i="1"/>
  <c r="I22" i="1" s="1"/>
  <c r="H23" i="1"/>
  <c r="I23" i="1" s="1"/>
  <c r="H24" i="1"/>
  <c r="I24" i="1" s="1"/>
  <c r="H25" i="1"/>
  <c r="I25" i="1" s="1"/>
  <c r="H26" i="1"/>
  <c r="I26" i="1" s="1"/>
  <c r="H27" i="1"/>
  <c r="I27" i="1" s="1"/>
  <c r="H28" i="1"/>
  <c r="I28" i="1" s="1"/>
  <c r="H29" i="1"/>
  <c r="I29" i="1" s="1"/>
  <c r="H30" i="1"/>
  <c r="I30" i="1" s="1"/>
  <c r="H31" i="1"/>
  <c r="I31" i="1" s="1"/>
  <c r="H32" i="1"/>
  <c r="I32" i="1" s="1"/>
  <c r="H33" i="1"/>
  <c r="I33" i="1" s="1"/>
  <c r="H34" i="1"/>
  <c r="I34" i="1" s="1"/>
  <c r="H35" i="1"/>
  <c r="I35" i="1" s="1"/>
  <c r="H36" i="1"/>
  <c r="I36" i="1" s="1"/>
  <c r="H37" i="1"/>
  <c r="I37" i="1" s="1"/>
  <c r="H38" i="1"/>
  <c r="I38" i="1" s="1"/>
  <c r="H39" i="1"/>
  <c r="I39" i="1" s="1"/>
  <c r="H40" i="1"/>
  <c r="I40" i="1" s="1"/>
  <c r="H41" i="1"/>
  <c r="I41" i="1" s="1"/>
  <c r="H42" i="1"/>
  <c r="I42" i="1" s="1"/>
  <c r="H43" i="1"/>
  <c r="I43" i="1" s="1"/>
  <c r="H44" i="1"/>
  <c r="I44" i="1" s="1"/>
  <c r="H45" i="1"/>
  <c r="I45" i="1" s="1"/>
  <c r="H46" i="1"/>
  <c r="I46" i="1" s="1"/>
  <c r="H47" i="1"/>
  <c r="I47" i="1" s="1"/>
  <c r="H48" i="1"/>
  <c r="I48" i="1" s="1"/>
  <c r="H49" i="1"/>
  <c r="I49" i="1" s="1"/>
  <c r="H50" i="1"/>
  <c r="I50" i="1" s="1"/>
  <c r="H51" i="1"/>
  <c r="I51" i="1" s="1"/>
  <c r="H52" i="1"/>
  <c r="I52" i="1" s="1"/>
  <c r="H53" i="1"/>
  <c r="I53" i="1" s="1"/>
  <c r="H54" i="1"/>
  <c r="I54" i="1" s="1"/>
  <c r="H55" i="1"/>
  <c r="I55" i="1" s="1"/>
  <c r="H56" i="1"/>
  <c r="I56" i="1" s="1"/>
  <c r="H57" i="1"/>
  <c r="I57" i="1" s="1"/>
  <c r="H58" i="1"/>
  <c r="I58" i="1" s="1"/>
  <c r="H59" i="1"/>
  <c r="I59" i="1" s="1"/>
  <c r="H60" i="1"/>
  <c r="I60" i="1" s="1"/>
  <c r="H61" i="1"/>
  <c r="I61" i="1" s="1"/>
  <c r="H62" i="1"/>
  <c r="I62" i="1" s="1"/>
  <c r="H63" i="1"/>
  <c r="I63" i="1" s="1"/>
  <c r="H64" i="1"/>
  <c r="I64" i="1" s="1"/>
  <c r="H65" i="1"/>
  <c r="I65" i="1" s="1"/>
  <c r="H66" i="1"/>
  <c r="I66" i="1" s="1"/>
  <c r="H67" i="1"/>
  <c r="I67" i="1" s="1"/>
  <c r="H68" i="1"/>
  <c r="I68" i="1" s="1"/>
  <c r="H69" i="1"/>
  <c r="I69" i="1" s="1"/>
  <c r="H70" i="1"/>
  <c r="I70" i="1" s="1"/>
  <c r="H71" i="1"/>
  <c r="I71" i="1" s="1"/>
  <c r="H72" i="1"/>
  <c r="I72" i="1" s="1"/>
  <c r="H73" i="1"/>
  <c r="I73" i="1" s="1"/>
  <c r="H74" i="1"/>
  <c r="I74" i="1" s="1"/>
  <c r="H75" i="1"/>
  <c r="I75" i="1" s="1"/>
  <c r="H76" i="1"/>
  <c r="I76" i="1" s="1"/>
  <c r="H77" i="1"/>
  <c r="I77" i="1" s="1"/>
  <c r="H78" i="1"/>
  <c r="I78" i="1" s="1"/>
  <c r="H79" i="1"/>
  <c r="I79" i="1" s="1"/>
  <c r="H80" i="1"/>
  <c r="I80" i="1" s="1"/>
  <c r="H81" i="1"/>
  <c r="I81" i="1" s="1"/>
  <c r="H82" i="1"/>
  <c r="I82" i="1" s="1"/>
  <c r="H83" i="1"/>
  <c r="I83" i="1" s="1"/>
  <c r="H84" i="1"/>
  <c r="H85" i="1"/>
  <c r="I85" i="1" s="1"/>
  <c r="H86" i="1"/>
  <c r="I86" i="1" s="1"/>
  <c r="H87" i="1"/>
  <c r="I87" i="1" s="1"/>
  <c r="H88" i="1"/>
  <c r="I88" i="1" s="1"/>
  <c r="H89" i="1"/>
  <c r="I89" i="1" s="1"/>
  <c r="H90" i="1"/>
  <c r="I90" i="1" s="1"/>
  <c r="H91" i="1"/>
  <c r="I91" i="1" s="1"/>
  <c r="H92" i="1"/>
  <c r="I92" i="1" s="1"/>
  <c r="H93" i="1"/>
  <c r="I93" i="1" s="1"/>
  <c r="H94" i="1"/>
  <c r="I94" i="1" s="1"/>
  <c r="H95" i="1"/>
  <c r="I95" i="1" s="1"/>
  <c r="H96" i="1"/>
  <c r="I96" i="1" s="1"/>
  <c r="H97" i="1"/>
  <c r="I97" i="1" s="1"/>
  <c r="H98" i="1"/>
  <c r="I98" i="1" s="1"/>
  <c r="H99" i="1"/>
  <c r="I99" i="1" s="1"/>
  <c r="H100" i="1"/>
  <c r="H101" i="1"/>
  <c r="I101" i="1" s="1"/>
  <c r="H102" i="1"/>
  <c r="I102" i="1" s="1"/>
  <c r="H103" i="1"/>
  <c r="I103" i="1" s="1"/>
  <c r="H104" i="1"/>
  <c r="I104" i="1" s="1"/>
  <c r="H105" i="1"/>
  <c r="I105" i="1" s="1"/>
  <c r="H106" i="1"/>
  <c r="I106" i="1" s="1"/>
  <c r="H107" i="1"/>
  <c r="I107" i="1" s="1"/>
  <c r="H108" i="1"/>
  <c r="I108" i="1" s="1"/>
  <c r="H109" i="1"/>
  <c r="I109" i="1" s="1"/>
  <c r="H110" i="1"/>
  <c r="I110" i="1" s="1"/>
  <c r="H111" i="1"/>
  <c r="I111" i="1" s="1"/>
  <c r="H112" i="1"/>
  <c r="I112" i="1" s="1"/>
  <c r="H113" i="1"/>
  <c r="I113" i="1" s="1"/>
  <c r="H114" i="1"/>
  <c r="I114" i="1" s="1"/>
  <c r="H115" i="1"/>
  <c r="I115" i="1" s="1"/>
  <c r="H116" i="1"/>
  <c r="I116" i="1" s="1"/>
  <c r="H117" i="1"/>
  <c r="I117" i="1" s="1"/>
  <c r="H118" i="1"/>
  <c r="I118" i="1" s="1"/>
  <c r="H119" i="1"/>
  <c r="I119" i="1" s="1"/>
  <c r="H120" i="1"/>
  <c r="I120" i="1" s="1"/>
  <c r="H121" i="1"/>
  <c r="I121" i="1" s="1"/>
  <c r="H122" i="1"/>
  <c r="I122" i="1" s="1"/>
  <c r="H123" i="1"/>
  <c r="I123" i="1" s="1"/>
  <c r="H124" i="1"/>
  <c r="I124" i="1" s="1"/>
  <c r="H125" i="1"/>
  <c r="I125" i="1" s="1"/>
  <c r="H126" i="1"/>
  <c r="I126" i="1" s="1"/>
  <c r="H127" i="1"/>
  <c r="I127" i="1" s="1"/>
  <c r="H128" i="1"/>
  <c r="I128" i="1" s="1"/>
  <c r="H129" i="1"/>
  <c r="I129" i="1" s="1"/>
  <c r="H130" i="1"/>
  <c r="I130" i="1" s="1"/>
  <c r="H131" i="1"/>
  <c r="I131" i="1" s="1"/>
  <c r="H132" i="1"/>
  <c r="I132" i="1" s="1"/>
  <c r="H133" i="1"/>
  <c r="I133" i="1" s="1"/>
  <c r="H134" i="1"/>
  <c r="I134" i="1" s="1"/>
  <c r="H135" i="1"/>
  <c r="I135" i="1" s="1"/>
  <c r="H136" i="1"/>
  <c r="I136" i="1" s="1"/>
  <c r="H137" i="1"/>
  <c r="I137" i="1" s="1"/>
  <c r="H138" i="1"/>
  <c r="I138" i="1" s="1"/>
  <c r="H139" i="1"/>
  <c r="I139" i="1" s="1"/>
  <c r="H140" i="1"/>
  <c r="I140" i="1" s="1"/>
  <c r="H141" i="1"/>
  <c r="I141" i="1" s="1"/>
  <c r="H142" i="1"/>
  <c r="I142" i="1" s="1"/>
  <c r="H143" i="1"/>
  <c r="I143" i="1" s="1"/>
  <c r="H144" i="1"/>
  <c r="I144" i="1" s="1"/>
  <c r="H145" i="1"/>
  <c r="I145" i="1" s="1"/>
  <c r="H146" i="1"/>
  <c r="I146" i="1" s="1"/>
  <c r="H147" i="1"/>
  <c r="I147" i="1" s="1"/>
  <c r="H148" i="1"/>
  <c r="I148" i="1" s="1"/>
  <c r="H149" i="1"/>
  <c r="I149" i="1" s="1"/>
  <c r="H150" i="1"/>
  <c r="I150" i="1" s="1"/>
  <c r="H151" i="1"/>
  <c r="I151" i="1" s="1"/>
  <c r="H152" i="1"/>
  <c r="I152" i="1" s="1"/>
  <c r="H153" i="1"/>
  <c r="I153" i="1" s="1"/>
  <c r="H154" i="1"/>
  <c r="I154" i="1" s="1"/>
  <c r="H155" i="1"/>
  <c r="I155" i="1" s="1"/>
  <c r="H156" i="1"/>
  <c r="I156" i="1" s="1"/>
  <c r="H157" i="1"/>
  <c r="I157" i="1" s="1"/>
  <c r="H158" i="1"/>
  <c r="I158" i="1" s="1"/>
  <c r="H159" i="1"/>
  <c r="I159" i="1" s="1"/>
  <c r="H160" i="1"/>
  <c r="I160" i="1" s="1"/>
  <c r="H161" i="1"/>
  <c r="I161" i="1" s="1"/>
  <c r="H162" i="1"/>
  <c r="I162" i="1" s="1"/>
  <c r="H163" i="1"/>
  <c r="I163" i="1" s="1"/>
  <c r="H164" i="1"/>
  <c r="I164" i="1" s="1"/>
  <c r="H165" i="1"/>
  <c r="I165" i="1" s="1"/>
  <c r="H166" i="1"/>
  <c r="I166" i="1" s="1"/>
  <c r="H167" i="1"/>
  <c r="I167" i="1" s="1"/>
  <c r="H168" i="1"/>
  <c r="I168" i="1" s="1"/>
  <c r="H169" i="1"/>
  <c r="I169" i="1" s="1"/>
  <c r="H170" i="1"/>
  <c r="I170" i="1" s="1"/>
  <c r="H171" i="1"/>
  <c r="I171" i="1" s="1"/>
  <c r="H172" i="1"/>
  <c r="I172" i="1" s="1"/>
  <c r="H173" i="1"/>
  <c r="I173" i="1" s="1"/>
  <c r="H174" i="1"/>
  <c r="I174" i="1" s="1"/>
  <c r="H175" i="1"/>
  <c r="I175" i="1" s="1"/>
  <c r="H176" i="1"/>
  <c r="I176" i="1" s="1"/>
  <c r="H177" i="1"/>
  <c r="I177" i="1" s="1"/>
  <c r="H178" i="1"/>
  <c r="I178" i="1" s="1"/>
  <c r="H179" i="1"/>
  <c r="I179" i="1" s="1"/>
  <c r="H180" i="1"/>
  <c r="H181" i="1"/>
  <c r="I181" i="1" s="1"/>
  <c r="H182" i="1"/>
  <c r="I182" i="1" s="1"/>
  <c r="H183" i="1"/>
  <c r="I183" i="1" s="1"/>
  <c r="H184" i="1"/>
  <c r="I184" i="1" s="1"/>
  <c r="H185" i="1"/>
  <c r="I185" i="1" s="1"/>
  <c r="H186" i="1"/>
  <c r="I186" i="1" s="1"/>
  <c r="H187" i="1"/>
  <c r="I187" i="1" s="1"/>
  <c r="H188" i="1"/>
  <c r="I188" i="1" s="1"/>
  <c r="H189" i="1"/>
  <c r="I189" i="1" s="1"/>
  <c r="H190" i="1"/>
  <c r="I190" i="1" s="1"/>
  <c r="H191" i="1"/>
  <c r="I191" i="1" s="1"/>
  <c r="H192" i="1"/>
  <c r="I192" i="1" s="1"/>
  <c r="H193" i="1"/>
  <c r="I193" i="1" s="1"/>
  <c r="H194" i="1"/>
  <c r="I194" i="1" s="1"/>
  <c r="H195" i="1"/>
  <c r="I195" i="1" s="1"/>
  <c r="H196" i="1"/>
  <c r="I196" i="1" s="1"/>
  <c r="H197" i="1"/>
  <c r="I197" i="1" s="1"/>
  <c r="H198" i="1"/>
  <c r="I198" i="1" s="1"/>
  <c r="H199" i="1"/>
  <c r="I199" i="1" s="1"/>
  <c r="H200" i="1"/>
  <c r="I200" i="1" s="1"/>
  <c r="H201" i="1"/>
  <c r="I201" i="1" s="1"/>
  <c r="H202" i="1"/>
  <c r="I202" i="1" s="1"/>
  <c r="H203" i="1"/>
  <c r="I203" i="1" s="1"/>
  <c r="H204" i="1"/>
  <c r="I204" i="1" s="1"/>
  <c r="H205" i="1"/>
  <c r="I205" i="1" s="1"/>
  <c r="H206" i="1"/>
  <c r="I206" i="1" s="1"/>
  <c r="H207" i="1"/>
  <c r="I207" i="1" s="1"/>
  <c r="H208" i="1"/>
  <c r="I208" i="1" s="1"/>
  <c r="H209" i="1"/>
  <c r="I209" i="1" s="1"/>
  <c r="H210" i="1"/>
  <c r="I210" i="1" s="1"/>
  <c r="H211" i="1"/>
  <c r="I211" i="1" s="1"/>
  <c r="H212" i="1"/>
  <c r="I212" i="1" s="1"/>
  <c r="H213" i="1"/>
  <c r="I213" i="1" s="1"/>
  <c r="H214" i="1"/>
  <c r="I214" i="1" s="1"/>
  <c r="H215" i="1"/>
  <c r="I215" i="1" s="1"/>
  <c r="H216" i="1"/>
  <c r="H217" i="1"/>
  <c r="I217" i="1" s="1"/>
  <c r="H218" i="1"/>
  <c r="I218" i="1" s="1"/>
  <c r="H219" i="1"/>
  <c r="I219" i="1" s="1"/>
  <c r="H220" i="1"/>
  <c r="H221" i="1"/>
  <c r="I221" i="1" s="1"/>
  <c r="H222" i="1"/>
  <c r="I222" i="1" s="1"/>
  <c r="H223" i="1"/>
  <c r="I223" i="1" s="1"/>
  <c r="H224" i="1"/>
  <c r="I224" i="1" s="1"/>
  <c r="H225" i="1"/>
  <c r="I225" i="1" s="1"/>
  <c r="H226" i="1"/>
  <c r="K8" i="1"/>
  <c r="G8" i="9" s="1"/>
  <c r="M8" i="9" s="1"/>
  <c r="K9" i="1"/>
  <c r="G9" i="9" s="1"/>
  <c r="M9" i="9" s="1"/>
  <c r="K10" i="1"/>
  <c r="G10" i="9" s="1"/>
  <c r="M10" i="9" s="1"/>
  <c r="K11" i="1"/>
  <c r="G11" i="9" s="1"/>
  <c r="M11" i="9" s="1"/>
  <c r="K12" i="1"/>
  <c r="K13" i="1"/>
  <c r="K14" i="1"/>
  <c r="G14" i="9" s="1"/>
  <c r="M14" i="9" s="1"/>
  <c r="K15" i="1"/>
  <c r="K16" i="1"/>
  <c r="G16" i="9" s="1"/>
  <c r="M16" i="9" s="1"/>
  <c r="K17" i="1"/>
  <c r="G17" i="9" s="1"/>
  <c r="M17" i="9" s="1"/>
  <c r="K18" i="1"/>
  <c r="G18" i="9" s="1"/>
  <c r="M18" i="9" s="1"/>
  <c r="K19" i="1"/>
  <c r="G19" i="9" s="1"/>
  <c r="M19" i="9" s="1"/>
  <c r="K20" i="1"/>
  <c r="K21" i="1"/>
  <c r="K22" i="1"/>
  <c r="G22" i="9" s="1"/>
  <c r="M22" i="9" s="1"/>
  <c r="K23" i="1"/>
  <c r="K24" i="1"/>
  <c r="G24" i="9" s="1"/>
  <c r="M24" i="9" s="1"/>
  <c r="K25" i="1"/>
  <c r="G25" i="9" s="1"/>
  <c r="M25" i="9" s="1"/>
  <c r="K26" i="1"/>
  <c r="G26" i="9" s="1"/>
  <c r="M26" i="9" s="1"/>
  <c r="K27" i="1"/>
  <c r="G27" i="9" s="1"/>
  <c r="M27" i="9" s="1"/>
  <c r="K28" i="1"/>
  <c r="K29" i="1"/>
  <c r="K30" i="1"/>
  <c r="G30" i="9" s="1"/>
  <c r="M30" i="9" s="1"/>
  <c r="K31" i="1"/>
  <c r="K32" i="1"/>
  <c r="G32" i="9" s="1"/>
  <c r="M32" i="9" s="1"/>
  <c r="K33" i="1"/>
  <c r="G33" i="9" s="1"/>
  <c r="M33" i="9" s="1"/>
  <c r="K34" i="1"/>
  <c r="G34" i="9" s="1"/>
  <c r="M34" i="9" s="1"/>
  <c r="K35" i="1"/>
  <c r="G35" i="9" s="1"/>
  <c r="M35" i="9" s="1"/>
  <c r="K36" i="1"/>
  <c r="K37" i="1"/>
  <c r="K38" i="1"/>
  <c r="G38" i="9" s="1"/>
  <c r="M38" i="9" s="1"/>
  <c r="K39" i="1"/>
  <c r="K40" i="1"/>
  <c r="G40" i="9" s="1"/>
  <c r="M40" i="9" s="1"/>
  <c r="K41" i="1"/>
  <c r="G41" i="9" s="1"/>
  <c r="M41" i="9" s="1"/>
  <c r="K42" i="1"/>
  <c r="G42" i="9" s="1"/>
  <c r="M42" i="9" s="1"/>
  <c r="K43" i="1"/>
  <c r="G43" i="9" s="1"/>
  <c r="M43" i="9" s="1"/>
  <c r="K44" i="1"/>
  <c r="K45" i="1"/>
  <c r="K46" i="1"/>
  <c r="G46" i="9" s="1"/>
  <c r="M46" i="9" s="1"/>
  <c r="K47" i="1"/>
  <c r="K48" i="1"/>
  <c r="G48" i="9" s="1"/>
  <c r="M48" i="9" s="1"/>
  <c r="K49" i="1"/>
  <c r="G49" i="9" s="1"/>
  <c r="M49" i="9" s="1"/>
  <c r="K50" i="1"/>
  <c r="G50" i="9" s="1"/>
  <c r="M50" i="9" s="1"/>
  <c r="K51" i="1"/>
  <c r="G51" i="9" s="1"/>
  <c r="M51" i="9" s="1"/>
  <c r="K52" i="1"/>
  <c r="K53" i="1"/>
  <c r="K54" i="1"/>
  <c r="G54" i="9" s="1"/>
  <c r="M54" i="9" s="1"/>
  <c r="K55" i="1"/>
  <c r="K56" i="1"/>
  <c r="G56" i="9" s="1"/>
  <c r="M56" i="9" s="1"/>
  <c r="K57" i="1"/>
  <c r="G57" i="9" s="1"/>
  <c r="M57" i="9" s="1"/>
  <c r="K58" i="1"/>
  <c r="G58" i="9" s="1"/>
  <c r="M58" i="9" s="1"/>
  <c r="K59" i="1"/>
  <c r="G59" i="9" s="1"/>
  <c r="M59" i="9" s="1"/>
  <c r="K60" i="1"/>
  <c r="K61" i="1"/>
  <c r="K62" i="1"/>
  <c r="G62" i="9" s="1"/>
  <c r="M62" i="9" s="1"/>
  <c r="K63" i="1"/>
  <c r="K64" i="1"/>
  <c r="G64" i="9" s="1"/>
  <c r="M64" i="9" s="1"/>
  <c r="K65" i="1"/>
  <c r="G65" i="9" s="1"/>
  <c r="M65" i="9" s="1"/>
  <c r="K66" i="1"/>
  <c r="G66" i="9" s="1"/>
  <c r="M66" i="9" s="1"/>
  <c r="K67" i="1"/>
  <c r="G67" i="9" s="1"/>
  <c r="M67" i="9" s="1"/>
  <c r="K68" i="1"/>
  <c r="K69" i="1"/>
  <c r="K70" i="1"/>
  <c r="G70" i="9" s="1"/>
  <c r="M70" i="9" s="1"/>
  <c r="K71" i="1"/>
  <c r="K72" i="1"/>
  <c r="G72" i="9" s="1"/>
  <c r="M72" i="9" s="1"/>
  <c r="K73" i="1"/>
  <c r="G73" i="9" s="1"/>
  <c r="M73" i="9" s="1"/>
  <c r="K74" i="1"/>
  <c r="G74" i="9" s="1"/>
  <c r="M74" i="9" s="1"/>
  <c r="K75" i="1"/>
  <c r="G75" i="9" s="1"/>
  <c r="M75" i="9" s="1"/>
  <c r="K76" i="1"/>
  <c r="K77" i="1"/>
  <c r="K78" i="1"/>
  <c r="G78" i="9" s="1"/>
  <c r="M78" i="9" s="1"/>
  <c r="K79" i="1"/>
  <c r="K80" i="1"/>
  <c r="G80" i="9" s="1"/>
  <c r="M80" i="9" s="1"/>
  <c r="K81" i="1"/>
  <c r="G81" i="9" s="1"/>
  <c r="M81" i="9" s="1"/>
  <c r="K82" i="1"/>
  <c r="G82" i="9" s="1"/>
  <c r="M82" i="9" s="1"/>
  <c r="K83" i="1"/>
  <c r="G83" i="9" s="1"/>
  <c r="M83" i="9" s="1"/>
  <c r="K84" i="1"/>
  <c r="K85" i="1"/>
  <c r="K86" i="1"/>
  <c r="G86" i="9" s="1"/>
  <c r="M86" i="9" s="1"/>
  <c r="K87" i="1"/>
  <c r="K88" i="1"/>
  <c r="G88" i="9" s="1"/>
  <c r="M88" i="9" s="1"/>
  <c r="K89" i="1"/>
  <c r="G89" i="9" s="1"/>
  <c r="M89" i="9" s="1"/>
  <c r="K90" i="1"/>
  <c r="G90" i="9" s="1"/>
  <c r="M90" i="9" s="1"/>
  <c r="K91" i="1"/>
  <c r="G91" i="9" s="1"/>
  <c r="M91" i="9" s="1"/>
  <c r="K92" i="1"/>
  <c r="K93" i="1"/>
  <c r="K94" i="1"/>
  <c r="G94" i="9" s="1"/>
  <c r="M94" i="9" s="1"/>
  <c r="K95" i="1"/>
  <c r="K96" i="1"/>
  <c r="G96" i="9" s="1"/>
  <c r="M96" i="9" s="1"/>
  <c r="K97" i="1"/>
  <c r="G97" i="9" s="1"/>
  <c r="M97" i="9" s="1"/>
  <c r="K98" i="1"/>
  <c r="G98" i="9" s="1"/>
  <c r="M98" i="9" s="1"/>
  <c r="K99" i="1"/>
  <c r="G99" i="9" s="1"/>
  <c r="M99" i="9" s="1"/>
  <c r="K100" i="1"/>
  <c r="K101" i="1"/>
  <c r="K102" i="1"/>
  <c r="G102" i="9" s="1"/>
  <c r="M102" i="9" s="1"/>
  <c r="K103" i="1"/>
  <c r="K104" i="1"/>
  <c r="G104" i="9" s="1"/>
  <c r="M104" i="9" s="1"/>
  <c r="K105" i="1"/>
  <c r="G105" i="9" s="1"/>
  <c r="M105" i="9" s="1"/>
  <c r="K106" i="1"/>
  <c r="G106" i="9" s="1"/>
  <c r="M106" i="9" s="1"/>
  <c r="K107" i="1"/>
  <c r="G107" i="9" s="1"/>
  <c r="M107" i="9" s="1"/>
  <c r="K108" i="1"/>
  <c r="K109" i="1"/>
  <c r="K110" i="1"/>
  <c r="G110" i="9" s="1"/>
  <c r="M110" i="9" s="1"/>
  <c r="K111" i="1"/>
  <c r="K112" i="1"/>
  <c r="G112" i="9" s="1"/>
  <c r="M112" i="9" s="1"/>
  <c r="K113" i="1"/>
  <c r="G113" i="9" s="1"/>
  <c r="M113" i="9" s="1"/>
  <c r="K114" i="1"/>
  <c r="G114" i="9" s="1"/>
  <c r="M114" i="9" s="1"/>
  <c r="K115" i="1"/>
  <c r="G115" i="9" s="1"/>
  <c r="M115" i="9" s="1"/>
  <c r="K116" i="1"/>
  <c r="K117" i="1"/>
  <c r="K118" i="1"/>
  <c r="G118" i="9" s="1"/>
  <c r="M118" i="9" s="1"/>
  <c r="K119" i="1"/>
  <c r="K120" i="1"/>
  <c r="G120" i="9" s="1"/>
  <c r="M120" i="9" s="1"/>
  <c r="K121" i="1"/>
  <c r="G121" i="9" s="1"/>
  <c r="M121" i="9" s="1"/>
  <c r="K122" i="1"/>
  <c r="G122" i="9" s="1"/>
  <c r="M122" i="9" s="1"/>
  <c r="K123" i="1"/>
  <c r="G123" i="9" s="1"/>
  <c r="M123" i="9" s="1"/>
  <c r="K124" i="1"/>
  <c r="K125" i="1"/>
  <c r="K126" i="1"/>
  <c r="G126" i="9" s="1"/>
  <c r="M126" i="9" s="1"/>
  <c r="K127" i="1"/>
  <c r="K128" i="1"/>
  <c r="G128" i="9" s="1"/>
  <c r="M128" i="9" s="1"/>
  <c r="K129" i="1"/>
  <c r="G129" i="9" s="1"/>
  <c r="M129" i="9" s="1"/>
  <c r="K130" i="1"/>
  <c r="G130" i="9" s="1"/>
  <c r="M130" i="9" s="1"/>
  <c r="K131" i="1"/>
  <c r="G131" i="9" s="1"/>
  <c r="M131" i="9" s="1"/>
  <c r="K132" i="1"/>
  <c r="K133" i="1"/>
  <c r="K134" i="1"/>
  <c r="G134" i="9" s="1"/>
  <c r="M134" i="9" s="1"/>
  <c r="K135" i="1"/>
  <c r="K136" i="1"/>
  <c r="G136" i="9" s="1"/>
  <c r="M136" i="9" s="1"/>
  <c r="K137" i="1"/>
  <c r="G137" i="9" s="1"/>
  <c r="M137" i="9" s="1"/>
  <c r="K138" i="1"/>
  <c r="G138" i="9" s="1"/>
  <c r="M138" i="9" s="1"/>
  <c r="K139" i="1"/>
  <c r="G139" i="9" s="1"/>
  <c r="M139" i="9" s="1"/>
  <c r="K140" i="1"/>
  <c r="K141" i="1"/>
  <c r="K142" i="1"/>
  <c r="G142" i="9" s="1"/>
  <c r="M142" i="9" s="1"/>
  <c r="K143" i="1"/>
  <c r="K144" i="1"/>
  <c r="G144" i="9" s="1"/>
  <c r="M144" i="9" s="1"/>
  <c r="K145" i="1"/>
  <c r="G145" i="9" s="1"/>
  <c r="M145" i="9" s="1"/>
  <c r="K146" i="1"/>
  <c r="G146" i="9" s="1"/>
  <c r="M146" i="9" s="1"/>
  <c r="K147" i="1"/>
  <c r="G147" i="9" s="1"/>
  <c r="M147" i="9" s="1"/>
  <c r="K148" i="1"/>
  <c r="K149" i="1"/>
  <c r="G149" i="9" s="1"/>
  <c r="M149" i="9" s="1"/>
  <c r="K150" i="1"/>
  <c r="G150" i="9" s="1"/>
  <c r="M150" i="9" s="1"/>
  <c r="K151" i="1"/>
  <c r="K152" i="1"/>
  <c r="G152" i="9" s="1"/>
  <c r="M152" i="9" s="1"/>
  <c r="K153" i="1"/>
  <c r="G153" i="9" s="1"/>
  <c r="M153" i="9" s="1"/>
  <c r="K154" i="1"/>
  <c r="G154" i="9" s="1"/>
  <c r="M154" i="9" s="1"/>
  <c r="K155" i="1"/>
  <c r="G155" i="9" s="1"/>
  <c r="M155" i="9" s="1"/>
  <c r="K156" i="1"/>
  <c r="K157" i="1"/>
  <c r="G157" i="9" s="1"/>
  <c r="M157" i="9" s="1"/>
  <c r="K158" i="1"/>
  <c r="G158" i="9" s="1"/>
  <c r="M158" i="9" s="1"/>
  <c r="K159" i="1"/>
  <c r="K160" i="1"/>
  <c r="G160" i="9" s="1"/>
  <c r="M160" i="9" s="1"/>
  <c r="K161" i="1"/>
  <c r="G161" i="9" s="1"/>
  <c r="M161" i="9" s="1"/>
  <c r="K162" i="1"/>
  <c r="G162" i="9" s="1"/>
  <c r="M162" i="9" s="1"/>
  <c r="K163" i="1"/>
  <c r="G163" i="9" s="1"/>
  <c r="M163" i="9" s="1"/>
  <c r="K164" i="1"/>
  <c r="K165" i="1"/>
  <c r="G165" i="9" s="1"/>
  <c r="M165" i="9" s="1"/>
  <c r="K166" i="1"/>
  <c r="G166" i="9" s="1"/>
  <c r="M166" i="9" s="1"/>
  <c r="K167" i="1"/>
  <c r="K168" i="1"/>
  <c r="G168" i="9" s="1"/>
  <c r="M168" i="9" s="1"/>
  <c r="K169" i="1"/>
  <c r="G169" i="9" s="1"/>
  <c r="M169" i="9" s="1"/>
  <c r="K170" i="1"/>
  <c r="G170" i="9" s="1"/>
  <c r="M170" i="9" s="1"/>
  <c r="K171" i="1"/>
  <c r="G171" i="9" s="1"/>
  <c r="M171" i="9" s="1"/>
  <c r="K172" i="1"/>
  <c r="K173" i="1"/>
  <c r="G173" i="9" s="1"/>
  <c r="M173" i="9" s="1"/>
  <c r="K174" i="1"/>
  <c r="G174" i="9" s="1"/>
  <c r="M174" i="9" s="1"/>
  <c r="K175" i="1"/>
  <c r="K176" i="1"/>
  <c r="G176" i="9" s="1"/>
  <c r="M176" i="9" s="1"/>
  <c r="K177" i="1"/>
  <c r="G177" i="9" s="1"/>
  <c r="M177" i="9" s="1"/>
  <c r="K178" i="1"/>
  <c r="G178" i="9" s="1"/>
  <c r="M178" i="9" s="1"/>
  <c r="K179" i="1"/>
  <c r="G179" i="9" s="1"/>
  <c r="M179" i="9" s="1"/>
  <c r="K180" i="1"/>
  <c r="K181" i="1"/>
  <c r="G181" i="9" s="1"/>
  <c r="M181" i="9" s="1"/>
  <c r="K182" i="1"/>
  <c r="G182" i="9" s="1"/>
  <c r="M182" i="9" s="1"/>
  <c r="K183" i="1"/>
  <c r="K184" i="1"/>
  <c r="G184" i="9" s="1"/>
  <c r="M184" i="9" s="1"/>
  <c r="K185" i="1"/>
  <c r="G185" i="9" s="1"/>
  <c r="M185" i="9" s="1"/>
  <c r="K186" i="1"/>
  <c r="G186" i="9" s="1"/>
  <c r="M186" i="9" s="1"/>
  <c r="K187" i="1"/>
  <c r="G187" i="9" s="1"/>
  <c r="M187" i="9" s="1"/>
  <c r="K188" i="1"/>
  <c r="K189" i="1"/>
  <c r="G189" i="9" s="1"/>
  <c r="M189" i="9" s="1"/>
  <c r="K190" i="1"/>
  <c r="G190" i="9" s="1"/>
  <c r="M190" i="9" s="1"/>
  <c r="K191" i="1"/>
  <c r="K192" i="1"/>
  <c r="G192" i="9" s="1"/>
  <c r="M192" i="9" s="1"/>
  <c r="K193" i="1"/>
  <c r="G193" i="9" s="1"/>
  <c r="M193" i="9" s="1"/>
  <c r="K194" i="1"/>
  <c r="G194" i="9" s="1"/>
  <c r="M194" i="9" s="1"/>
  <c r="K195" i="1"/>
  <c r="G195" i="9" s="1"/>
  <c r="M195" i="9" s="1"/>
  <c r="K196" i="1"/>
  <c r="K197" i="1"/>
  <c r="G197" i="9" s="1"/>
  <c r="M197" i="9" s="1"/>
  <c r="K198" i="1"/>
  <c r="G198" i="9" s="1"/>
  <c r="M198" i="9" s="1"/>
  <c r="K199" i="1"/>
  <c r="K200" i="1"/>
  <c r="G200" i="9" s="1"/>
  <c r="M200" i="9" s="1"/>
  <c r="K201" i="1"/>
  <c r="G201" i="9" s="1"/>
  <c r="M201" i="9" s="1"/>
  <c r="K202" i="1"/>
  <c r="G202" i="9" s="1"/>
  <c r="M202" i="9" s="1"/>
  <c r="K203" i="1"/>
  <c r="G203" i="9" s="1"/>
  <c r="M203" i="9" s="1"/>
  <c r="K204" i="1"/>
  <c r="K205" i="1"/>
  <c r="G205" i="9" s="1"/>
  <c r="M205" i="9" s="1"/>
  <c r="K206" i="1"/>
  <c r="G206" i="9" s="1"/>
  <c r="M206" i="9" s="1"/>
  <c r="K207" i="1"/>
  <c r="K208" i="1"/>
  <c r="G208" i="9" s="1"/>
  <c r="M208" i="9" s="1"/>
  <c r="K209" i="1"/>
  <c r="G209" i="9" s="1"/>
  <c r="M209" i="9" s="1"/>
  <c r="K210" i="1"/>
  <c r="G210" i="9" s="1"/>
  <c r="M210" i="9" s="1"/>
  <c r="K211" i="1"/>
  <c r="G211" i="9" s="1"/>
  <c r="M211" i="9" s="1"/>
  <c r="K212" i="1"/>
  <c r="K213" i="1"/>
  <c r="G213" i="9" s="1"/>
  <c r="M213" i="9" s="1"/>
  <c r="K214" i="1"/>
  <c r="G214" i="9" s="1"/>
  <c r="M214" i="9" s="1"/>
  <c r="K215" i="1"/>
  <c r="K216" i="1"/>
  <c r="G216" i="9" s="1"/>
  <c r="M216" i="9" s="1"/>
  <c r="K217" i="1"/>
  <c r="G217" i="9" s="1"/>
  <c r="M217" i="9" s="1"/>
  <c r="K218" i="1"/>
  <c r="G218" i="9" s="1"/>
  <c r="M218" i="9" s="1"/>
  <c r="K219" i="1"/>
  <c r="G219" i="9" s="1"/>
  <c r="M219" i="9" s="1"/>
  <c r="K220" i="1"/>
  <c r="K221" i="1"/>
  <c r="G221" i="9" s="1"/>
  <c r="M221" i="9" s="1"/>
  <c r="K222" i="1"/>
  <c r="G222" i="9" s="1"/>
  <c r="M222" i="9" s="1"/>
  <c r="K223" i="1"/>
  <c r="K224" i="1"/>
  <c r="G224" i="9" s="1"/>
  <c r="M224" i="9" s="1"/>
  <c r="K225" i="1"/>
  <c r="G225" i="9" s="1"/>
  <c r="M225" i="9" s="1"/>
  <c r="K226" i="1"/>
  <c r="G226" i="9" s="1"/>
  <c r="M226" i="9" s="1"/>
  <c r="K7" i="1"/>
  <c r="G7" i="9" s="1"/>
  <c r="M7" i="9" s="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7" i="1"/>
  <c r="I12" i="1"/>
  <c r="I84" i="1"/>
  <c r="I100" i="1"/>
  <c r="I180" i="1"/>
  <c r="I216" i="1"/>
  <c r="I220" i="1"/>
  <c r="I226" i="1"/>
  <c r="I7" i="1"/>
  <c r="N224" i="1" l="1"/>
  <c r="N11" i="1"/>
  <c r="N10" i="1"/>
  <c r="N9" i="1"/>
  <c r="N8" i="1"/>
  <c r="N221" i="1"/>
  <c r="N226" i="1"/>
  <c r="N225" i="1"/>
  <c r="N32" i="1"/>
  <c r="M8" i="1"/>
  <c r="N2" i="6"/>
  <c r="N3" i="6"/>
  <c r="I8" i="1"/>
  <c r="N4" i="4" s="1"/>
  <c r="E45" i="4"/>
  <c r="N3" i="10"/>
  <c r="N2" i="10"/>
  <c r="N3" i="11"/>
  <c r="N2" i="11"/>
  <c r="N48" i="1"/>
  <c r="N213" i="1"/>
  <c r="N170" i="1"/>
  <c r="N165" i="1"/>
  <c r="N157" i="1"/>
  <c r="N136" i="1"/>
  <c r="N200" i="1"/>
  <c r="N82" i="1"/>
  <c r="N66" i="1"/>
  <c r="N192" i="1"/>
  <c r="N128" i="1"/>
  <c r="N81" i="1"/>
  <c r="N189" i="1"/>
  <c r="N154" i="1"/>
  <c r="N122" i="1"/>
  <c r="N80" i="1"/>
  <c r="N153" i="1"/>
  <c r="N184" i="1"/>
  <c r="N152" i="1"/>
  <c r="N120" i="1"/>
  <c r="N65" i="1"/>
  <c r="N209" i="1"/>
  <c r="N139" i="1"/>
  <c r="N64" i="1"/>
  <c r="N208" i="1"/>
  <c r="N169" i="1"/>
  <c r="N138" i="1"/>
  <c r="N104" i="1"/>
  <c r="N56" i="1"/>
  <c r="N185" i="1"/>
  <c r="N121" i="1"/>
  <c r="N105" i="1"/>
  <c r="N205" i="1"/>
  <c r="N168" i="1"/>
  <c r="N137" i="1"/>
  <c r="N88" i="1"/>
  <c r="N49" i="1"/>
  <c r="N7" i="1"/>
  <c r="N177" i="1"/>
  <c r="N161" i="1"/>
  <c r="N145" i="1"/>
  <c r="N107" i="1"/>
  <c r="N90" i="1"/>
  <c r="N73" i="1"/>
  <c r="N34" i="1"/>
  <c r="N17" i="1"/>
  <c r="N210" i="1"/>
  <c r="N193" i="1"/>
  <c r="N176" i="1"/>
  <c r="N160" i="1"/>
  <c r="N144" i="1"/>
  <c r="N123" i="1"/>
  <c r="N106" i="1"/>
  <c r="N89" i="1"/>
  <c r="N72" i="1"/>
  <c r="N50" i="1"/>
  <c r="N33" i="1"/>
  <c r="N16" i="1"/>
  <c r="N98" i="1"/>
  <c r="N43" i="1"/>
  <c r="N203" i="1"/>
  <c r="N217" i="1"/>
  <c r="N202" i="1"/>
  <c r="N179" i="1"/>
  <c r="N163" i="1"/>
  <c r="N149" i="1"/>
  <c r="N130" i="1"/>
  <c r="N113" i="1"/>
  <c r="N96" i="1"/>
  <c r="N75" i="1"/>
  <c r="N58" i="1"/>
  <c r="N41" i="1"/>
  <c r="N24" i="1"/>
  <c r="N27" i="1"/>
  <c r="N26" i="1"/>
  <c r="N218" i="1"/>
  <c r="N114" i="1"/>
  <c r="N97" i="1"/>
  <c r="N59" i="1"/>
  <c r="N42" i="1"/>
  <c r="N25" i="1"/>
  <c r="N216" i="1"/>
  <c r="N201" i="1"/>
  <c r="N178" i="1"/>
  <c r="N162" i="1"/>
  <c r="N146" i="1"/>
  <c r="N129" i="1"/>
  <c r="N112" i="1"/>
  <c r="N91" i="1"/>
  <c r="N74" i="1"/>
  <c r="N57" i="1"/>
  <c r="N40" i="1"/>
  <c r="N18" i="1"/>
  <c r="G215" i="9"/>
  <c r="M215" i="9" s="1"/>
  <c r="N215" i="1"/>
  <c r="G191" i="9"/>
  <c r="M191" i="9" s="1"/>
  <c r="N191" i="1"/>
  <c r="G167" i="9"/>
  <c r="M167" i="9" s="1"/>
  <c r="N167" i="1"/>
  <c r="G143" i="9"/>
  <c r="M143" i="9" s="1"/>
  <c r="N143" i="1"/>
  <c r="G127" i="9"/>
  <c r="M127" i="9" s="1"/>
  <c r="N127" i="1"/>
  <c r="G111" i="9"/>
  <c r="M111" i="9" s="1"/>
  <c r="N111" i="1"/>
  <c r="G87" i="9"/>
  <c r="M87" i="9" s="1"/>
  <c r="N87" i="1"/>
  <c r="G63" i="9"/>
  <c r="M63" i="9" s="1"/>
  <c r="N63" i="1"/>
  <c r="G47" i="9"/>
  <c r="M47" i="9" s="1"/>
  <c r="N47" i="1"/>
  <c r="G31" i="9"/>
  <c r="M31" i="9" s="1"/>
  <c r="N31" i="1"/>
  <c r="N195" i="1"/>
  <c r="N219" i="1"/>
  <c r="N194" i="1"/>
  <c r="N181" i="1"/>
  <c r="N155" i="1"/>
  <c r="G223" i="9"/>
  <c r="M223" i="9" s="1"/>
  <c r="N223" i="1"/>
  <c r="G199" i="9"/>
  <c r="M199" i="9" s="1"/>
  <c r="N199" i="1"/>
  <c r="G175" i="9"/>
  <c r="M175" i="9" s="1"/>
  <c r="N175" i="1"/>
  <c r="G151" i="9"/>
  <c r="M151" i="9" s="1"/>
  <c r="N151" i="1"/>
  <c r="G119" i="9"/>
  <c r="M119" i="9" s="1"/>
  <c r="N119" i="1"/>
  <c r="G95" i="9"/>
  <c r="M95" i="9" s="1"/>
  <c r="N95" i="1"/>
  <c r="G79" i="9"/>
  <c r="M79" i="9" s="1"/>
  <c r="N79" i="1"/>
  <c r="G55" i="9"/>
  <c r="M55" i="9" s="1"/>
  <c r="N55" i="1"/>
  <c r="G15" i="9"/>
  <c r="M15" i="9" s="1"/>
  <c r="N15" i="1"/>
  <c r="N187" i="1"/>
  <c r="G141" i="9"/>
  <c r="M141" i="9" s="1"/>
  <c r="N141" i="1"/>
  <c r="G133" i="9"/>
  <c r="M133" i="9" s="1"/>
  <c r="N133" i="1"/>
  <c r="G125" i="9"/>
  <c r="M125" i="9" s="1"/>
  <c r="N125" i="1"/>
  <c r="G117" i="9"/>
  <c r="M117" i="9" s="1"/>
  <c r="N117" i="1"/>
  <c r="G109" i="9"/>
  <c r="M109" i="9" s="1"/>
  <c r="N109" i="1"/>
  <c r="G101" i="9"/>
  <c r="M101" i="9" s="1"/>
  <c r="N101" i="1"/>
  <c r="G93" i="9"/>
  <c r="M93" i="9" s="1"/>
  <c r="N93" i="1"/>
  <c r="G85" i="9"/>
  <c r="M85" i="9" s="1"/>
  <c r="N85" i="1"/>
  <c r="G77" i="9"/>
  <c r="M77" i="9" s="1"/>
  <c r="N77" i="1"/>
  <c r="G69" i="9"/>
  <c r="M69" i="9" s="1"/>
  <c r="N69" i="1"/>
  <c r="G61" i="9"/>
  <c r="M61" i="9" s="1"/>
  <c r="N61" i="1"/>
  <c r="G53" i="9"/>
  <c r="M53" i="9" s="1"/>
  <c r="N53" i="1"/>
  <c r="G45" i="9"/>
  <c r="M45" i="9" s="1"/>
  <c r="N45" i="1"/>
  <c r="G37" i="9"/>
  <c r="M37" i="9" s="1"/>
  <c r="N37" i="1"/>
  <c r="G29" i="9"/>
  <c r="M29" i="9" s="1"/>
  <c r="N29" i="1"/>
  <c r="G21" i="9"/>
  <c r="M21" i="9" s="1"/>
  <c r="N21" i="1"/>
  <c r="G13" i="9"/>
  <c r="M13" i="9" s="1"/>
  <c r="N13" i="1"/>
  <c r="N211" i="1"/>
  <c r="N186" i="1"/>
  <c r="N173" i="1"/>
  <c r="N147" i="1"/>
  <c r="N131" i="1"/>
  <c r="N115" i="1"/>
  <c r="N99" i="1"/>
  <c r="N83" i="1"/>
  <c r="N67" i="1"/>
  <c r="N51" i="1"/>
  <c r="N35" i="1"/>
  <c r="N19" i="1"/>
  <c r="G207" i="9"/>
  <c r="M207" i="9" s="1"/>
  <c r="N207" i="1"/>
  <c r="G183" i="9"/>
  <c r="M183" i="9" s="1"/>
  <c r="N183" i="1"/>
  <c r="G159" i="9"/>
  <c r="M159" i="9" s="1"/>
  <c r="N159" i="1"/>
  <c r="G135" i="9"/>
  <c r="M135" i="9" s="1"/>
  <c r="N135" i="1"/>
  <c r="G103" i="9"/>
  <c r="M103" i="9" s="1"/>
  <c r="N103" i="1"/>
  <c r="G71" i="9"/>
  <c r="M71" i="9" s="1"/>
  <c r="N71" i="1"/>
  <c r="G39" i="9"/>
  <c r="M39" i="9" s="1"/>
  <c r="N39" i="1"/>
  <c r="G23" i="9"/>
  <c r="M23" i="9" s="1"/>
  <c r="N23" i="1"/>
  <c r="G220" i="9"/>
  <c r="M220" i="9" s="1"/>
  <c r="N220" i="1"/>
  <c r="G212" i="9"/>
  <c r="M212" i="9" s="1"/>
  <c r="N212" i="1"/>
  <c r="G204" i="9"/>
  <c r="M204" i="9" s="1"/>
  <c r="N204" i="1"/>
  <c r="G196" i="9"/>
  <c r="M196" i="9" s="1"/>
  <c r="N196" i="1"/>
  <c r="G188" i="9"/>
  <c r="M188" i="9" s="1"/>
  <c r="N188" i="1"/>
  <c r="G180" i="9"/>
  <c r="M180" i="9" s="1"/>
  <c r="N180" i="1"/>
  <c r="G172" i="9"/>
  <c r="M172" i="9" s="1"/>
  <c r="N172" i="1"/>
  <c r="G164" i="9"/>
  <c r="M164" i="9" s="1"/>
  <c r="N164" i="1"/>
  <c r="G156" i="9"/>
  <c r="M156" i="9" s="1"/>
  <c r="N156" i="1"/>
  <c r="G148" i="9"/>
  <c r="M148" i="9" s="1"/>
  <c r="N148" i="1"/>
  <c r="G140" i="9"/>
  <c r="M140" i="9" s="1"/>
  <c r="N140" i="1"/>
  <c r="G132" i="9"/>
  <c r="M132" i="9" s="1"/>
  <c r="N132" i="1"/>
  <c r="G124" i="9"/>
  <c r="M124" i="9" s="1"/>
  <c r="N124" i="1"/>
  <c r="G116" i="9"/>
  <c r="M116" i="9" s="1"/>
  <c r="N116" i="1"/>
  <c r="G108" i="9"/>
  <c r="M108" i="9" s="1"/>
  <c r="N108" i="1"/>
  <c r="G100" i="9"/>
  <c r="M100" i="9" s="1"/>
  <c r="N100" i="1"/>
  <c r="G92" i="9"/>
  <c r="M92" i="9" s="1"/>
  <c r="N92" i="1"/>
  <c r="G84" i="9"/>
  <c r="M84" i="9" s="1"/>
  <c r="N84" i="1"/>
  <c r="G76" i="9"/>
  <c r="M76" i="9" s="1"/>
  <c r="N76" i="1"/>
  <c r="G68" i="9"/>
  <c r="M68" i="9" s="1"/>
  <c r="N68" i="1"/>
  <c r="G60" i="9"/>
  <c r="M60" i="9" s="1"/>
  <c r="N60" i="1"/>
  <c r="G52" i="9"/>
  <c r="M52" i="9" s="1"/>
  <c r="N52" i="1"/>
  <c r="G44" i="9"/>
  <c r="M44" i="9" s="1"/>
  <c r="N44" i="1"/>
  <c r="G36" i="9"/>
  <c r="M36" i="9" s="1"/>
  <c r="N36" i="1"/>
  <c r="G28" i="9"/>
  <c r="M28" i="9" s="1"/>
  <c r="N28" i="1"/>
  <c r="G20" i="9"/>
  <c r="M20" i="9" s="1"/>
  <c r="N20" i="1"/>
  <c r="G12" i="9"/>
  <c r="M12" i="9" s="1"/>
  <c r="N12" i="1"/>
  <c r="N197" i="1"/>
  <c r="N171" i="1"/>
  <c r="N3" i="4"/>
  <c r="N2" i="4"/>
  <c r="I7" i="9"/>
  <c r="N4" i="10" s="1"/>
  <c r="N222" i="1"/>
  <c r="N214" i="1"/>
  <c r="N206" i="1"/>
  <c r="N198" i="1"/>
  <c r="N190" i="1"/>
  <c r="N182" i="1"/>
  <c r="N174" i="1"/>
  <c r="N166" i="1"/>
  <c r="N158" i="1"/>
  <c r="N150" i="1"/>
  <c r="N142" i="1"/>
  <c r="N134" i="1"/>
  <c r="N126" i="1"/>
  <c r="N118" i="1"/>
  <c r="N110" i="1"/>
  <c r="N102" i="1"/>
  <c r="N94" i="1"/>
  <c r="N86" i="1"/>
  <c r="N78" i="1"/>
  <c r="N70" i="1"/>
  <c r="N62" i="1"/>
  <c r="N54" i="1"/>
  <c r="N46" i="1"/>
  <c r="N38" i="1"/>
  <c r="N30" i="1"/>
  <c r="N22" i="1"/>
  <c r="N14" i="1"/>
  <c r="L7" i="9"/>
  <c r="A40" i="11"/>
  <c r="A40" i="10"/>
  <c r="A40" i="6"/>
  <c r="A40" i="4"/>
  <c r="N4" i="11" l="1"/>
  <c r="N4" i="6"/>
  <c r="O11" i="6"/>
  <c r="O10" i="6"/>
  <c r="N11" i="6"/>
  <c r="N10" i="6"/>
  <c r="P12" i="11"/>
  <c r="Q12" i="11" s="1"/>
  <c r="P11" i="11"/>
  <c r="Q11" i="11" s="1"/>
  <c r="O11" i="10"/>
  <c r="O10" i="10"/>
  <c r="N12" i="11"/>
  <c r="O12" i="11" s="1"/>
  <c r="N11" i="11"/>
  <c r="O11" i="11" s="1"/>
  <c r="N11" i="10"/>
  <c r="N10" i="10"/>
  <c r="N11" i="4"/>
  <c r="N10" i="4"/>
  <c r="O11" i="4"/>
  <c r="O10" i="4"/>
  <c r="I3" i="11"/>
  <c r="B3" i="11"/>
  <c r="I2" i="11"/>
  <c r="B2" i="11"/>
  <c r="I1" i="11"/>
  <c r="B1" i="11"/>
  <c r="I3" i="10" l="1"/>
  <c r="B3" i="10"/>
  <c r="I2" i="10"/>
  <c r="B2" i="10"/>
  <c r="I1" i="10"/>
  <c r="B1" i="10"/>
  <c r="E43" i="10" l="1"/>
  <c r="N5" i="10" s="1"/>
  <c r="E45" i="10"/>
  <c r="I3" i="6"/>
  <c r="B3" i="6"/>
  <c r="I2" i="6"/>
  <c r="B2" i="6"/>
  <c r="I1" i="6"/>
  <c r="B1" i="6"/>
  <c r="N7" i="10" l="1"/>
  <c r="N6" i="10"/>
  <c r="E44" i="10"/>
  <c r="B3" i="4" l="1"/>
  <c r="B2" i="4"/>
  <c r="I3" i="4"/>
  <c r="I2" i="4"/>
  <c r="I1" i="4"/>
  <c r="B1" i="4"/>
  <c r="E43" i="6" l="1"/>
  <c r="N5" i="6" s="1"/>
  <c r="E45" i="6"/>
  <c r="E43" i="4"/>
  <c r="N5" i="4" s="1"/>
  <c r="E44" i="4" s="1"/>
  <c r="N6" i="6" l="1"/>
  <c r="N7" i="6"/>
  <c r="N7" i="4"/>
  <c r="N6" i="4"/>
  <c r="E44" i="6"/>
  <c r="E45" i="11" l="1"/>
  <c r="E43" i="11"/>
  <c r="N5" i="11" s="1"/>
  <c r="N7" i="11" l="1"/>
  <c r="N6" i="11"/>
  <c r="E44" i="11"/>
</calcChain>
</file>

<file path=xl/sharedStrings.xml><?xml version="1.0" encoding="utf-8"?>
<sst xmlns="http://schemas.openxmlformats.org/spreadsheetml/2006/main" count="413" uniqueCount="161">
  <si>
    <t>Record</t>
  </si>
  <si>
    <t>Date</t>
  </si>
  <si>
    <t>mm/dd/yy</t>
  </si>
  <si>
    <t>Seismograph</t>
  </si>
  <si>
    <t>Distance From</t>
  </si>
  <si>
    <t>Charge Weight</t>
  </si>
  <si>
    <t>Peak Particle</t>
  </si>
  <si>
    <t>Log PPV</t>
  </si>
  <si>
    <t>Seis 15 A</t>
  </si>
  <si>
    <t>Seis 15</t>
  </si>
  <si>
    <t>Seis 16</t>
  </si>
  <si>
    <t>Seis 17</t>
  </si>
  <si>
    <t>Seis 18</t>
  </si>
  <si>
    <t>Seis 19</t>
  </si>
  <si>
    <t>Seis 21</t>
  </si>
  <si>
    <t>Seis 1A</t>
  </si>
  <si>
    <t>Seis 2A</t>
  </si>
  <si>
    <t>Seis 3</t>
  </si>
  <si>
    <t>Seis 4</t>
  </si>
  <si>
    <t>Seis 5A</t>
  </si>
  <si>
    <t>Seis 5</t>
  </si>
  <si>
    <t>Seis 6</t>
  </si>
  <si>
    <t>Seis 2</t>
  </si>
  <si>
    <t>Seis 5 A</t>
  </si>
  <si>
    <t>Seis 2*</t>
  </si>
  <si>
    <t>Seis 3*</t>
  </si>
  <si>
    <t>Seis 4*</t>
  </si>
  <si>
    <t>Seis 5 A*</t>
  </si>
  <si>
    <t>Seis 5*</t>
  </si>
  <si>
    <t>Seis 15*</t>
  </si>
  <si>
    <t>Seis 16*</t>
  </si>
  <si>
    <t>Seis 17*</t>
  </si>
  <si>
    <t>Seis 18*</t>
  </si>
  <si>
    <t>Seis 19*</t>
  </si>
  <si>
    <t>Seis 1</t>
  </si>
  <si>
    <t>Seis 1 A</t>
  </si>
  <si>
    <t>Seis 7 A</t>
  </si>
  <si>
    <t>Seis 7</t>
  </si>
  <si>
    <t>Seis 8</t>
  </si>
  <si>
    <t>Seis 9</t>
  </si>
  <si>
    <t>Seis 10</t>
  </si>
  <si>
    <t>Seis 11</t>
  </si>
  <si>
    <t>Seis 12</t>
  </si>
  <si>
    <t>Seis 13</t>
  </si>
  <si>
    <t>Seis 20</t>
  </si>
  <si>
    <t>Seis 13 A</t>
  </si>
  <si>
    <t>Seis 14</t>
  </si>
  <si>
    <r>
      <t>Log SD</t>
    </r>
    <r>
      <rPr>
        <vertAlign val="subscript"/>
        <sz val="12"/>
        <rFont val="Calibri"/>
        <family val="2"/>
        <scheme val="minor"/>
      </rPr>
      <t>2</t>
    </r>
  </si>
  <si>
    <r>
      <t>Log SD</t>
    </r>
    <r>
      <rPr>
        <vertAlign val="subscript"/>
        <sz val="12"/>
        <rFont val="Calibri"/>
        <family val="2"/>
        <scheme val="minor"/>
      </rPr>
      <t>3</t>
    </r>
  </si>
  <si>
    <t>Airblast</t>
  </si>
  <si>
    <t>Review Agency:</t>
  </si>
  <si>
    <t>Blaster:</t>
  </si>
  <si>
    <t>Review Date:</t>
  </si>
  <si>
    <t>Reviewed By:</t>
  </si>
  <si>
    <t>OSMRE</t>
  </si>
  <si>
    <t>Brian Farmer, P.E.</t>
  </si>
  <si>
    <t>Mine:</t>
  </si>
  <si>
    <t>Permit No.:</t>
  </si>
  <si>
    <t>D-12345</t>
  </si>
  <si>
    <t>dB</t>
  </si>
  <si>
    <t>ft</t>
  </si>
  <si>
    <t>lbs</t>
  </si>
  <si>
    <t>in/sec</t>
  </si>
  <si>
    <r>
      <t>lbs/in</t>
    </r>
    <r>
      <rPr>
        <vertAlign val="superscript"/>
        <sz val="12"/>
        <rFont val="Calibri"/>
        <family val="2"/>
        <scheme val="minor"/>
      </rPr>
      <t>2</t>
    </r>
  </si>
  <si>
    <r>
      <t>ft/lbs</t>
    </r>
    <r>
      <rPr>
        <vertAlign val="superscript"/>
        <sz val="12"/>
        <rFont val="Calibri"/>
        <family val="2"/>
        <scheme val="minor"/>
      </rPr>
      <t>(1/3)</t>
    </r>
  </si>
  <si>
    <r>
      <t>ft/lbs</t>
    </r>
    <r>
      <rPr>
        <vertAlign val="superscript"/>
        <sz val="12"/>
        <rFont val="Calibri"/>
        <family val="2"/>
        <scheme val="minor"/>
      </rPr>
      <t>(1/2)</t>
    </r>
  </si>
  <si>
    <t>Permit:</t>
  </si>
  <si>
    <t>Performed By:</t>
  </si>
  <si>
    <r>
      <t>PPV at Min SD</t>
    </r>
    <r>
      <rPr>
        <b/>
        <vertAlign val="subscript"/>
        <sz val="10"/>
        <color theme="1"/>
        <rFont val="Arial"/>
        <family val="2"/>
      </rPr>
      <t>2</t>
    </r>
  </si>
  <si>
    <r>
      <t>PPV at Max SD</t>
    </r>
    <r>
      <rPr>
        <b/>
        <vertAlign val="subscript"/>
        <sz val="10"/>
        <color theme="1"/>
        <rFont val="Arial"/>
        <family val="2"/>
      </rPr>
      <t>2</t>
    </r>
  </si>
  <si>
    <t>mm/sec</t>
  </si>
  <si>
    <t>m</t>
  </si>
  <si>
    <t>kg</t>
  </si>
  <si>
    <t>95% Confidence Interval:</t>
  </si>
  <si>
    <t>Pa</t>
  </si>
  <si>
    <t>Appalachian Region</t>
  </si>
  <si>
    <t>Technical Support Division</t>
  </si>
  <si>
    <t>Three Parkway Center</t>
  </si>
  <si>
    <t>Pittsburgh, Pennsylvania 15220</t>
  </si>
  <si>
    <r>
      <t>Minimum SD</t>
    </r>
    <r>
      <rPr>
        <vertAlign val="subscript"/>
        <sz val="10"/>
        <rFont val="Arial"/>
        <family val="2"/>
      </rPr>
      <t>3</t>
    </r>
    <r>
      <rPr>
        <sz val="10"/>
        <rFont val="Arial"/>
        <family val="2"/>
      </rPr>
      <t xml:space="preserve"> from dataset rounded down (x</t>
    </r>
    <r>
      <rPr>
        <vertAlign val="subscript"/>
        <sz val="10"/>
        <rFont val="Arial"/>
        <family val="2"/>
      </rPr>
      <t>1</t>
    </r>
    <r>
      <rPr>
        <sz val="10"/>
        <rFont val="Arial"/>
        <family val="2"/>
      </rPr>
      <t>):</t>
    </r>
  </si>
  <si>
    <r>
      <t>Maximum SD</t>
    </r>
    <r>
      <rPr>
        <vertAlign val="subscript"/>
        <sz val="10"/>
        <rFont val="Arial"/>
        <family val="2"/>
      </rPr>
      <t>3</t>
    </r>
    <r>
      <rPr>
        <sz val="10"/>
        <rFont val="Arial"/>
        <family val="2"/>
      </rPr>
      <t xml:space="preserve"> from dataset rounded up (x</t>
    </r>
    <r>
      <rPr>
        <vertAlign val="subscript"/>
        <sz val="10"/>
        <rFont val="Arial"/>
        <family val="2"/>
      </rPr>
      <t>2</t>
    </r>
    <r>
      <rPr>
        <sz val="10"/>
        <rFont val="Arial"/>
        <family val="2"/>
      </rPr>
      <t>):</t>
    </r>
  </si>
  <si>
    <r>
      <t>Minimum SD</t>
    </r>
    <r>
      <rPr>
        <vertAlign val="subscript"/>
        <sz val="10"/>
        <rFont val="Arial"/>
        <family val="2"/>
      </rPr>
      <t>2</t>
    </r>
    <r>
      <rPr>
        <sz val="10"/>
        <rFont val="Arial"/>
        <family val="2"/>
      </rPr>
      <t xml:space="preserve"> from dataset rounded down (x</t>
    </r>
    <r>
      <rPr>
        <vertAlign val="subscript"/>
        <sz val="10"/>
        <rFont val="Arial"/>
        <family val="2"/>
      </rPr>
      <t>1</t>
    </r>
    <r>
      <rPr>
        <sz val="10"/>
        <rFont val="Arial"/>
        <family val="2"/>
      </rPr>
      <t>):</t>
    </r>
  </si>
  <si>
    <r>
      <t>Maximum SD</t>
    </r>
    <r>
      <rPr>
        <vertAlign val="subscript"/>
        <sz val="10"/>
        <rFont val="Arial"/>
        <family val="2"/>
      </rPr>
      <t>2</t>
    </r>
    <r>
      <rPr>
        <sz val="10"/>
        <rFont val="Arial"/>
        <family val="2"/>
      </rPr>
      <t xml:space="preserve"> from dataset rounded up (x</t>
    </r>
    <r>
      <rPr>
        <vertAlign val="subscript"/>
        <sz val="10"/>
        <rFont val="Arial"/>
        <family val="2"/>
      </rPr>
      <t>2</t>
    </r>
    <r>
      <rPr>
        <sz val="10"/>
        <rFont val="Arial"/>
        <family val="2"/>
      </rPr>
      <t>):</t>
    </r>
  </si>
  <si>
    <r>
      <t>Calculated PPV for Minimum SD</t>
    </r>
    <r>
      <rPr>
        <vertAlign val="subscript"/>
        <sz val="10"/>
        <color theme="1"/>
        <rFont val="Arial"/>
        <family val="2"/>
      </rPr>
      <t>2</t>
    </r>
    <r>
      <rPr>
        <sz val="10"/>
        <color theme="1"/>
        <rFont val="Arial"/>
        <family val="2"/>
      </rPr>
      <t xml:space="preserve"> (y</t>
    </r>
    <r>
      <rPr>
        <vertAlign val="subscript"/>
        <sz val="10"/>
        <color theme="1"/>
        <rFont val="Arial"/>
        <family val="2"/>
      </rPr>
      <t>1</t>
    </r>
    <r>
      <rPr>
        <sz val="10"/>
        <color theme="1"/>
        <rFont val="Arial"/>
        <family val="2"/>
      </rPr>
      <t>):</t>
    </r>
  </si>
  <si>
    <r>
      <t>Calculated PPV for Maximum SD</t>
    </r>
    <r>
      <rPr>
        <vertAlign val="subscript"/>
        <sz val="10"/>
        <color theme="1"/>
        <rFont val="Arial"/>
        <family val="2"/>
      </rPr>
      <t>2</t>
    </r>
    <r>
      <rPr>
        <sz val="10"/>
        <color theme="1"/>
        <rFont val="Arial"/>
        <family val="2"/>
      </rPr>
      <t xml:space="preserve"> (y</t>
    </r>
    <r>
      <rPr>
        <vertAlign val="subscript"/>
        <sz val="10"/>
        <color theme="1"/>
        <rFont val="Arial"/>
        <family val="2"/>
      </rPr>
      <t>2</t>
    </r>
    <r>
      <rPr>
        <sz val="10"/>
        <color theme="1"/>
        <rFont val="Arial"/>
        <family val="2"/>
      </rPr>
      <t>):</t>
    </r>
  </si>
  <si>
    <t>Ground Vibration Analysis</t>
  </si>
  <si>
    <t>Per Delay (CW)</t>
  </si>
  <si>
    <t>Velocity (PPV)</t>
  </si>
  <si>
    <r>
      <t>Best Fit Coal Mines, PPV = 119 x SD</t>
    </r>
    <r>
      <rPr>
        <vertAlign val="subscript"/>
        <sz val="10"/>
        <color theme="1"/>
        <rFont val="Arial"/>
        <family val="2"/>
      </rPr>
      <t>2</t>
    </r>
    <r>
      <rPr>
        <vertAlign val="superscript"/>
        <sz val="10"/>
        <color theme="1"/>
        <rFont val="Arial"/>
        <family val="2"/>
      </rPr>
      <t>-1.52</t>
    </r>
    <r>
      <rPr>
        <sz val="10"/>
        <color theme="1"/>
        <rFont val="Arial"/>
        <family val="2"/>
      </rPr>
      <t xml:space="preserve"> (in/sec):</t>
    </r>
  </si>
  <si>
    <r>
      <t>Upper Bound Coal Mines, PPV = 438 x SD</t>
    </r>
    <r>
      <rPr>
        <vertAlign val="subscript"/>
        <sz val="10"/>
        <color theme="1"/>
        <rFont val="Arial"/>
        <family val="2"/>
      </rPr>
      <t>2</t>
    </r>
    <r>
      <rPr>
        <vertAlign val="superscript"/>
        <sz val="10"/>
        <color theme="1"/>
        <rFont val="Arial"/>
        <family val="2"/>
      </rPr>
      <t>-1.52</t>
    </r>
    <r>
      <rPr>
        <sz val="10"/>
        <color theme="1"/>
        <rFont val="Arial"/>
        <family val="2"/>
      </rPr>
      <t xml:space="preserve"> (in/sec):</t>
    </r>
  </si>
  <si>
    <r>
      <t>Log SD</t>
    </r>
    <r>
      <rPr>
        <vertAlign val="subscript"/>
        <sz val="12"/>
        <color theme="1"/>
        <rFont val="Calibri"/>
        <family val="2"/>
        <scheme val="minor"/>
      </rPr>
      <t>2</t>
    </r>
  </si>
  <si>
    <r>
      <t>Log SD</t>
    </r>
    <r>
      <rPr>
        <vertAlign val="subscript"/>
        <sz val="12"/>
        <color theme="1"/>
        <rFont val="Calibri"/>
        <family val="2"/>
        <scheme val="minor"/>
      </rPr>
      <t>3</t>
    </r>
  </si>
  <si>
    <r>
      <t>m/kg</t>
    </r>
    <r>
      <rPr>
        <vertAlign val="superscript"/>
        <sz val="12"/>
        <color theme="1"/>
        <rFont val="Calibri"/>
        <family val="2"/>
        <scheme val="minor"/>
      </rPr>
      <t>(1/2)</t>
    </r>
  </si>
  <si>
    <r>
      <t>m/kg</t>
    </r>
    <r>
      <rPr>
        <vertAlign val="superscript"/>
        <sz val="12"/>
        <color theme="1"/>
        <rFont val="Calibri"/>
        <family val="2"/>
        <scheme val="minor"/>
      </rPr>
      <t>(1/3)</t>
    </r>
  </si>
  <si>
    <r>
      <rPr>
        <sz val="12"/>
        <color theme="1"/>
        <rFont val="Calibri"/>
        <family val="2"/>
        <scheme val="minor"/>
      </rPr>
      <t>m/kg</t>
    </r>
    <r>
      <rPr>
        <vertAlign val="superscript"/>
        <sz val="12"/>
        <color theme="1"/>
        <rFont val="Calibri"/>
        <family val="2"/>
        <scheme val="minor"/>
      </rPr>
      <t>(1/3)</t>
    </r>
  </si>
  <si>
    <r>
      <t>Best Fit Coal Mines, PPV = 905 x SD</t>
    </r>
    <r>
      <rPr>
        <vertAlign val="subscript"/>
        <sz val="10"/>
        <color theme="1"/>
        <rFont val="Arial"/>
        <family val="2"/>
      </rPr>
      <t>2</t>
    </r>
    <r>
      <rPr>
        <vertAlign val="superscript"/>
        <sz val="10"/>
        <color theme="1"/>
        <rFont val="Arial"/>
        <family val="2"/>
      </rPr>
      <t>-1.52</t>
    </r>
    <r>
      <rPr>
        <sz val="10"/>
        <color theme="1"/>
        <rFont val="Arial"/>
        <family val="2"/>
      </rPr>
      <t xml:space="preserve"> (mm/sec):</t>
    </r>
  </si>
  <si>
    <r>
      <t>Upper Bound Coal Mines, PPV = 3,330 x SD</t>
    </r>
    <r>
      <rPr>
        <vertAlign val="subscript"/>
        <sz val="10"/>
        <color theme="1"/>
        <rFont val="Arial"/>
        <family val="2"/>
      </rPr>
      <t>2</t>
    </r>
    <r>
      <rPr>
        <vertAlign val="superscript"/>
        <sz val="10"/>
        <color theme="1"/>
        <rFont val="Arial"/>
        <family val="2"/>
      </rPr>
      <t>-1.52</t>
    </r>
    <r>
      <rPr>
        <sz val="10"/>
        <color theme="1"/>
        <rFont val="Arial"/>
        <family val="2"/>
      </rPr>
      <t xml:space="preserve"> (mm/sec):</t>
    </r>
  </si>
  <si>
    <t>(millibar)</t>
  </si>
  <si>
    <t>(Pa)</t>
  </si>
  <si>
    <t>(AB)</t>
  </si>
  <si>
    <t>AB</t>
  </si>
  <si>
    <t>Log AB</t>
  </si>
  <si>
    <t>Upper Bound Line (95% Confidence)</t>
  </si>
  <si>
    <t>USBM RI 8507 Ground Vibration Equations</t>
  </si>
  <si>
    <t>USBM RI 8485 Air Blast Equations</t>
  </si>
  <si>
    <r>
      <t>AB at Min SD</t>
    </r>
    <r>
      <rPr>
        <b/>
        <vertAlign val="subscript"/>
        <sz val="10"/>
        <color theme="1"/>
        <rFont val="Arial"/>
        <family val="2"/>
      </rPr>
      <t>3</t>
    </r>
  </si>
  <si>
    <r>
      <t>AB at Max SD</t>
    </r>
    <r>
      <rPr>
        <b/>
        <vertAlign val="subscript"/>
        <sz val="10"/>
        <color theme="1"/>
        <rFont val="Arial"/>
        <family val="2"/>
      </rPr>
      <t>3</t>
    </r>
  </si>
  <si>
    <r>
      <t>Calculated AB for Minimum SD</t>
    </r>
    <r>
      <rPr>
        <vertAlign val="subscript"/>
        <sz val="10"/>
        <color theme="1"/>
        <rFont val="Arial"/>
        <family val="2"/>
      </rPr>
      <t xml:space="preserve">3 </t>
    </r>
    <r>
      <rPr>
        <sz val="10"/>
        <color theme="1"/>
        <rFont val="Arial"/>
        <family val="2"/>
      </rPr>
      <t>(y</t>
    </r>
    <r>
      <rPr>
        <vertAlign val="subscript"/>
        <sz val="10"/>
        <color theme="1"/>
        <rFont val="Arial"/>
        <family val="2"/>
      </rPr>
      <t>1</t>
    </r>
    <r>
      <rPr>
        <sz val="10"/>
        <color theme="1"/>
        <rFont val="Arial"/>
        <family val="2"/>
      </rPr>
      <t>):</t>
    </r>
  </si>
  <si>
    <r>
      <t>Calculated AB for Maximum SD</t>
    </r>
    <r>
      <rPr>
        <vertAlign val="subscript"/>
        <sz val="10"/>
        <color theme="1"/>
        <rFont val="Arial"/>
        <family val="2"/>
      </rPr>
      <t>3</t>
    </r>
    <r>
      <rPr>
        <sz val="10"/>
        <color theme="1"/>
        <rFont val="Arial"/>
        <family val="2"/>
      </rPr>
      <t xml:space="preserve"> (y</t>
    </r>
    <r>
      <rPr>
        <vertAlign val="subscript"/>
        <sz val="10"/>
        <color theme="1"/>
        <rFont val="Arial"/>
        <family val="2"/>
      </rPr>
      <t>2</t>
    </r>
    <r>
      <rPr>
        <sz val="10"/>
        <color theme="1"/>
        <rFont val="Arial"/>
        <family val="2"/>
      </rPr>
      <t>):</t>
    </r>
  </si>
  <si>
    <r>
      <t>Coal Mines (Parting), AB = 169 x SD</t>
    </r>
    <r>
      <rPr>
        <vertAlign val="subscript"/>
        <sz val="10"/>
        <color theme="1"/>
        <rFont val="Arial"/>
        <family val="2"/>
      </rPr>
      <t>3</t>
    </r>
    <r>
      <rPr>
        <vertAlign val="superscript"/>
        <sz val="10"/>
        <color theme="1"/>
        <rFont val="Arial"/>
        <family val="2"/>
      </rPr>
      <t>-1.62</t>
    </r>
    <r>
      <rPr>
        <sz val="10"/>
        <color theme="1"/>
        <rFont val="Arial"/>
        <family val="2"/>
      </rPr>
      <t xml:space="preserve"> (psi):</t>
    </r>
  </si>
  <si>
    <r>
      <t>Coal Mines (Highwall), AB = 0.162 x SD</t>
    </r>
    <r>
      <rPr>
        <vertAlign val="subscript"/>
        <sz val="10"/>
        <color theme="1"/>
        <rFont val="Arial"/>
        <family val="2"/>
      </rPr>
      <t>3</t>
    </r>
    <r>
      <rPr>
        <vertAlign val="superscript"/>
        <sz val="10"/>
        <color theme="1"/>
        <rFont val="Arial"/>
        <family val="2"/>
      </rPr>
      <t>-0.79</t>
    </r>
    <r>
      <rPr>
        <sz val="10"/>
        <color theme="1"/>
        <rFont val="Arial"/>
        <family val="2"/>
      </rPr>
      <t xml:space="preserve"> (psi):</t>
    </r>
  </si>
  <si>
    <t>Airblast Analysis</t>
  </si>
  <si>
    <t>Surface Mine:</t>
  </si>
  <si>
    <t>Blast Event Details and Measurements</t>
  </si>
  <si>
    <t xml:space="preserve">USBM RI 8507 Ground Vibration Equations </t>
  </si>
  <si>
    <t>USBM RI 8485 Airblast Equations</t>
  </si>
  <si>
    <r>
      <t>Coal Mines (Parting), AB = 2596 x SD</t>
    </r>
    <r>
      <rPr>
        <vertAlign val="subscript"/>
        <sz val="10"/>
        <color theme="1"/>
        <rFont val="Arial"/>
        <family val="2"/>
      </rPr>
      <t>3</t>
    </r>
    <r>
      <rPr>
        <vertAlign val="superscript"/>
        <sz val="10"/>
        <color theme="1"/>
        <rFont val="Arial"/>
        <family val="2"/>
      </rPr>
      <t xml:space="preserve">-1.62 </t>
    </r>
    <r>
      <rPr>
        <sz val="10"/>
        <color theme="1"/>
        <rFont val="Arial"/>
        <family val="2"/>
      </rPr>
      <t>(millibar):</t>
    </r>
  </si>
  <si>
    <r>
      <t>Coal Mines (Highwall), AB = 5.37 x SD</t>
    </r>
    <r>
      <rPr>
        <vertAlign val="subscript"/>
        <sz val="10"/>
        <color theme="1"/>
        <rFont val="Arial"/>
        <family val="2"/>
      </rPr>
      <t>3</t>
    </r>
    <r>
      <rPr>
        <vertAlign val="superscript"/>
        <sz val="10"/>
        <color theme="1"/>
        <rFont val="Arial"/>
        <family val="2"/>
      </rPr>
      <t>-0.79</t>
    </r>
    <r>
      <rPr>
        <sz val="10"/>
        <color theme="1"/>
        <rFont val="Arial"/>
        <family val="2"/>
      </rPr>
      <t xml:space="preserve"> (millibar):</t>
    </r>
  </si>
  <si>
    <t>Standard error of the vibration dataset entered by user:</t>
  </si>
  <si>
    <t>Note:  These equations are provided for reference and comparison with the airblast data entered by the user.  The user may click on the graph, select the data, and turn on/off the data series that represents each USBM RI 8485 equation.  The user may need to adjust the graph axis scales and plot objects (e.g. legend, R2, titles, etc.) depending on the data set.</t>
  </si>
  <si>
    <t>Note:  These equations are provided for reference and comparison with the blast-induced ground vibration data entered by the user.  The user may click on the graph, select the data, and turn on/off the data series that represents each USBM RI 8507 equation.  The user may need to adjust the graph axis scales and plot objects (e.g. legend, R2, titles, etc.) depending on the data set.</t>
  </si>
  <si>
    <t>or A =</t>
  </si>
  <si>
    <t>and B =</t>
  </si>
  <si>
    <t xml:space="preserve">The Best Fit Line and Upper Bound Line (95% Confidence) may be approximated using the following equation: </t>
  </si>
  <si>
    <t>where A =</t>
  </si>
  <si>
    <r>
      <t>, y-intercept for Best Fit Line at SD</t>
    </r>
    <r>
      <rPr>
        <vertAlign val="subscript"/>
        <sz val="10"/>
        <color theme="1"/>
        <rFont val="Arial"/>
        <family val="2"/>
      </rPr>
      <t>2</t>
    </r>
    <r>
      <rPr>
        <sz val="10"/>
        <color theme="1"/>
        <rFont val="Arial"/>
        <family val="2"/>
      </rPr>
      <t xml:space="preserve"> = 1.0</t>
    </r>
  </si>
  <si>
    <r>
      <t>, y-intercept for Upper Bound Line (95% Confidence) at SD</t>
    </r>
    <r>
      <rPr>
        <vertAlign val="subscript"/>
        <sz val="10"/>
        <color theme="1"/>
        <rFont val="Arial"/>
        <family val="2"/>
      </rPr>
      <t>2</t>
    </r>
    <r>
      <rPr>
        <sz val="10"/>
        <color theme="1"/>
        <rFont val="Arial"/>
        <family val="2"/>
      </rPr>
      <t xml:space="preserve"> = 1.0</t>
    </r>
  </si>
  <si>
    <t>, slope of the Best Fit Line and Upper Bound Line</t>
  </si>
  <si>
    <r>
      <t>, y-intercept for Best Fit Line at SD</t>
    </r>
    <r>
      <rPr>
        <vertAlign val="subscript"/>
        <sz val="10"/>
        <color theme="1"/>
        <rFont val="Arial"/>
        <family val="2"/>
      </rPr>
      <t>3</t>
    </r>
    <r>
      <rPr>
        <sz val="10"/>
        <color theme="1"/>
        <rFont val="Arial"/>
        <family val="2"/>
      </rPr>
      <t xml:space="preserve"> = 1.0</t>
    </r>
  </si>
  <si>
    <r>
      <t>, y-intercept for Upper Bound Line (95% Confidence) at SD</t>
    </r>
    <r>
      <rPr>
        <vertAlign val="subscript"/>
        <sz val="10"/>
        <color theme="1"/>
        <rFont val="Arial"/>
        <family val="2"/>
      </rPr>
      <t xml:space="preserve">3 </t>
    </r>
    <r>
      <rPr>
        <sz val="10"/>
        <color theme="1"/>
        <rFont val="Arial"/>
        <family val="2"/>
      </rPr>
      <t>= 1.0</t>
    </r>
  </si>
  <si>
    <r>
      <t>PPV = A x SD</t>
    </r>
    <r>
      <rPr>
        <b/>
        <vertAlign val="subscript"/>
        <sz val="10"/>
        <color theme="1"/>
        <rFont val="Arial"/>
        <family val="2"/>
      </rPr>
      <t>2</t>
    </r>
    <r>
      <rPr>
        <b/>
        <vertAlign val="superscript"/>
        <sz val="10"/>
        <color theme="1"/>
        <rFont val="Arial"/>
        <family val="2"/>
      </rPr>
      <t>-B</t>
    </r>
  </si>
  <si>
    <r>
      <t>AB = A x SD</t>
    </r>
    <r>
      <rPr>
        <b/>
        <vertAlign val="subscript"/>
        <sz val="10"/>
        <color theme="1"/>
        <rFont val="Arial"/>
        <family val="2"/>
      </rPr>
      <t>3</t>
    </r>
    <r>
      <rPr>
        <b/>
        <vertAlign val="superscript"/>
        <sz val="10"/>
        <color theme="1"/>
        <rFont val="Arial"/>
        <family val="2"/>
      </rPr>
      <t>-B</t>
    </r>
  </si>
  <si>
    <t>U.S. Department of Interior</t>
  </si>
  <si>
    <t>Ken Eltschlager</t>
  </si>
  <si>
    <t>Email:  bfarmer@osmre.gov</t>
  </si>
  <si>
    <t>Email:  keltschlager@osmre.gov</t>
  </si>
  <si>
    <t>Top Flight Blasting</t>
  </si>
  <si>
    <t>Pittsburgh Mine</t>
  </si>
  <si>
    <t>For troubleshooting issues, contact either of the following:</t>
  </si>
  <si>
    <t>Location</t>
  </si>
  <si>
    <t>Blast (D)</t>
  </si>
  <si>
    <t>Square Root Scaled</t>
  </si>
  <si>
    <r>
      <t>Distance (SD</t>
    </r>
    <r>
      <rPr>
        <vertAlign val="subscript"/>
        <sz val="12"/>
        <rFont val="Calibri"/>
        <family val="2"/>
        <scheme val="minor"/>
      </rPr>
      <t>2</t>
    </r>
    <r>
      <rPr>
        <sz val="12"/>
        <rFont val="Calibri"/>
        <family val="2"/>
        <scheme val="minor"/>
      </rPr>
      <t>)</t>
    </r>
  </si>
  <si>
    <t>Cube Root Scaled</t>
  </si>
  <si>
    <r>
      <t>Distance (SD</t>
    </r>
    <r>
      <rPr>
        <vertAlign val="subscript"/>
        <sz val="12"/>
        <rFont val="Calibri"/>
        <family val="2"/>
        <scheme val="minor"/>
      </rPr>
      <t>3</t>
    </r>
    <r>
      <rPr>
        <sz val="12"/>
        <rFont val="Calibri"/>
        <family val="2"/>
        <scheme val="minor"/>
      </rPr>
      <t>)</t>
    </r>
  </si>
  <si>
    <r>
      <t>Distance (SD</t>
    </r>
    <r>
      <rPr>
        <vertAlign val="subscript"/>
        <sz val="12"/>
        <color theme="1"/>
        <rFont val="Calibri"/>
        <family val="2"/>
        <scheme val="minor"/>
      </rPr>
      <t>2</t>
    </r>
    <r>
      <rPr>
        <sz val="12"/>
        <color theme="1"/>
        <rFont val="Calibri"/>
        <family val="2"/>
        <scheme val="minor"/>
      </rPr>
      <t>)</t>
    </r>
  </si>
  <si>
    <r>
      <t>Distance (SD</t>
    </r>
    <r>
      <rPr>
        <vertAlign val="subscript"/>
        <sz val="12"/>
        <color theme="1"/>
        <rFont val="Calibri"/>
        <family val="2"/>
        <scheme val="minor"/>
      </rPr>
      <t>3</t>
    </r>
    <r>
      <rPr>
        <sz val="12"/>
        <color theme="1"/>
        <rFont val="Calibri"/>
        <family val="2"/>
        <scheme val="minor"/>
      </rPr>
      <t>)</t>
    </r>
  </si>
  <si>
    <t>Office of Surface Mining Reclamation and Enforcement</t>
  </si>
  <si>
    <t>Spreadsheet Created by:</t>
  </si>
  <si>
    <t>Mining Engineer</t>
  </si>
  <si>
    <t>Blasting Subject Matter Expert</t>
  </si>
  <si>
    <t>OSMRE, Appalachian Region Office</t>
  </si>
  <si>
    <t>Pittsburgh, PA 15220</t>
  </si>
  <si>
    <t>Office Telephone:  (412) 937-2169</t>
  </si>
  <si>
    <t>Mobile Telephone:  (724) 263-8143</t>
  </si>
  <si>
    <t>Civil Engineer</t>
  </si>
  <si>
    <t>(author of spreadsheet)</t>
  </si>
  <si>
    <t>Office Telephone:  (412) 937-2862</t>
  </si>
  <si>
    <t>Mobile Telephone:  n/a</t>
  </si>
  <si>
    <t>Blast</t>
  </si>
  <si>
    <t>Blast Event Details and Measurements as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</si>
</sst>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mm/dd/yy;@"/>
    <numFmt numFmtId="165" formatCode="0.000"/>
    <numFmt numFmtId="166" formatCode="0.0"/>
    <numFmt numFmtId="167" formatCode="0.0000"/>
    <numFmt numFmtId="168" formatCode="#,##0.000"/>
    <numFmt numFmtId="169" formatCode="#,##0.0000"/>
    <numFmt numFmtId="170" formatCode="#,##0.0"/>
  </numFmts>
  <fonts count="33" x14ac:knownFonts="1">
    <font>
      <sz val="11"/>
      <color theme="1"/>
      <name val="Calibri"/>
      <family val="2"/>
      <scheme val="minor"/>
    </font>
    <font>
      <sz val="12"/>
      <color theme="1"/>
      <name val="Calibri"/>
      <family val="2"/>
      <scheme val="minor"/>
    </font>
    <font>
      <sz val="12"/>
      <name val="Calibri"/>
      <family val="2"/>
      <scheme val="minor"/>
    </font>
    <font>
      <sz val="12"/>
      <color rgb="FF0070C0"/>
      <name val="Calibri"/>
      <family val="2"/>
      <scheme val="minor"/>
    </font>
    <font>
      <sz val="10"/>
      <name val="Arial"/>
      <family val="2"/>
    </font>
    <font>
      <vertAlign val="superscript"/>
      <sz val="12"/>
      <name val="Calibri"/>
      <family val="2"/>
      <scheme val="minor"/>
    </font>
    <font>
      <vertAlign val="subscript"/>
      <sz val="12"/>
      <name val="Calibri"/>
      <family val="2"/>
      <scheme val="minor"/>
    </font>
    <font>
      <b/>
      <sz val="12"/>
      <color theme="1"/>
      <name val="Calibri"/>
      <family val="2"/>
      <scheme val="minor"/>
    </font>
    <font>
      <sz val="12"/>
      <color rgb="FFC00000"/>
      <name val="Calibri"/>
      <family val="2"/>
      <scheme val="minor"/>
    </font>
    <font>
      <b/>
      <sz val="12"/>
      <name val="Calibri"/>
      <family val="2"/>
      <scheme val="minor"/>
    </font>
    <font>
      <b/>
      <sz val="11"/>
      <name val="Calibri"/>
      <family val="2"/>
      <scheme val="minor"/>
    </font>
    <font>
      <sz val="10"/>
      <color theme="1"/>
      <name val="Arial"/>
      <family val="2"/>
    </font>
    <font>
      <vertAlign val="subscript"/>
      <sz val="10"/>
      <color theme="1"/>
      <name val="Arial"/>
      <family val="2"/>
    </font>
    <font>
      <vertAlign val="subscript"/>
      <sz val="10"/>
      <name val="Arial"/>
      <family val="2"/>
    </font>
    <font>
      <sz val="10"/>
      <color rgb="FFC00000"/>
      <name val="Arial"/>
      <family val="2"/>
    </font>
    <font>
      <b/>
      <sz val="10"/>
      <color theme="1"/>
      <name val="Arial"/>
      <family val="2"/>
    </font>
    <font>
      <u/>
      <sz val="10"/>
      <name val="Arial"/>
      <family val="2"/>
    </font>
    <font>
      <b/>
      <sz val="11"/>
      <color theme="1"/>
      <name val="Calibri"/>
      <family val="2"/>
      <scheme val="minor"/>
    </font>
    <font>
      <b/>
      <vertAlign val="subscript"/>
      <sz val="10"/>
      <color theme="1"/>
      <name val="Arial"/>
      <family val="2"/>
    </font>
    <font>
      <vertAlign val="superscript"/>
      <sz val="10"/>
      <color theme="1"/>
      <name val="Arial"/>
      <family val="2"/>
    </font>
    <font>
      <vertAlign val="subscript"/>
      <sz val="12"/>
      <color theme="1"/>
      <name val="Calibri"/>
      <family val="2"/>
      <scheme val="minor"/>
    </font>
    <font>
      <vertAlign val="superscript"/>
      <sz val="12"/>
      <color theme="1"/>
      <name val="Calibri"/>
      <family val="2"/>
      <scheme val="minor"/>
    </font>
    <font>
      <sz val="12"/>
      <color rgb="FF002060"/>
      <name val="Calibri"/>
      <family val="2"/>
      <scheme val="minor"/>
    </font>
    <font>
      <sz val="12"/>
      <color theme="8" tint="-0.249977111117893"/>
      <name val="Calibri"/>
      <family val="2"/>
      <scheme val="minor"/>
    </font>
    <font>
      <sz val="11"/>
      <color theme="8" tint="-0.249977111117893"/>
      <name val="Calibri"/>
      <family val="2"/>
      <scheme val="minor"/>
    </font>
    <font>
      <b/>
      <sz val="10"/>
      <color theme="1"/>
      <name val="Calibri"/>
      <family val="2"/>
      <scheme val="minor"/>
    </font>
    <font>
      <sz val="10"/>
      <color theme="1"/>
      <name val="Calibri"/>
      <family val="2"/>
      <scheme val="minor"/>
    </font>
    <font>
      <b/>
      <vertAlign val="superscript"/>
      <sz val="10"/>
      <color theme="1"/>
      <name val="Arial"/>
      <family val="2"/>
    </font>
    <font>
      <b/>
      <sz val="12"/>
      <color theme="1"/>
      <name val="Arial"/>
      <family val="2"/>
    </font>
    <font>
      <u/>
      <sz val="12"/>
      <name val="Arial"/>
      <family val="2"/>
    </font>
    <font>
      <sz val="12"/>
      <color rgb="FFC00000"/>
      <name val="Arial"/>
      <family val="2"/>
    </font>
    <font>
      <sz val="12"/>
      <color theme="1"/>
      <name val="Arial"/>
      <family val="2"/>
    </font>
    <font>
      <u/>
      <sz val="11"/>
      <color theme="10"/>
      <name val="Calibri"/>
      <family val="2"/>
      <scheme val="minor"/>
    </font>
  </fonts>
  <fills count="6">
    <fill>
      <patternFill patternType="none"/>
    </fill>
    <fill>
      <patternFill patternType="gray125"/>
    </fill>
    <fill>
      <patternFill patternType="solid">
        <fgColor theme="6" tint="0.59996337778862885"/>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22">
    <border>
      <left/>
      <right/>
      <top/>
      <bottom/>
      <diagonal/>
    </border>
    <border>
      <left style="dotted">
        <color auto="1"/>
      </left>
      <right style="dotted">
        <color auto="1"/>
      </right>
      <top style="dotted">
        <color auto="1"/>
      </top>
      <bottom style="dotted">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s>
  <cellStyleXfs count="3">
    <xf numFmtId="0" fontId="0" fillId="0" borderId="0"/>
    <xf numFmtId="0" fontId="4" fillId="0" borderId="0"/>
    <xf numFmtId="0" fontId="32" fillId="0" borderId="0" applyNumberFormat="0" applyFill="0" applyBorder="0" applyAlignment="0" applyProtection="0"/>
  </cellStyleXfs>
  <cellXfs count="272">
    <xf numFmtId="0" fontId="0" fillId="0" borderId="0" xfId="0"/>
    <xf numFmtId="164" fontId="11" fillId="0" borderId="0" xfId="0" applyNumberFormat="1" applyFont="1" applyAlignment="1" applyProtection="1">
      <alignment horizontal="left" vertical="center"/>
    </xf>
    <xf numFmtId="164" fontId="23" fillId="0" borderId="1" xfId="1" applyNumberFormat="1" applyFont="1" applyBorder="1" applyAlignment="1" applyProtection="1">
      <alignment horizontal="center" vertical="center"/>
      <protection locked="0"/>
    </xf>
    <xf numFmtId="166" fontId="23" fillId="0" borderId="1" xfId="1" applyNumberFormat="1" applyFont="1" applyBorder="1" applyAlignment="1" applyProtection="1">
      <alignment horizontal="right" vertical="center"/>
      <protection locked="0"/>
    </xf>
    <xf numFmtId="2" fontId="23" fillId="0" borderId="1" xfId="1" applyNumberFormat="1" applyFont="1" applyBorder="1" applyAlignment="1" applyProtection="1">
      <alignment horizontal="right" vertical="center"/>
      <protection locked="0"/>
    </xf>
    <xf numFmtId="164" fontId="23" fillId="0" borderId="1" xfId="1" applyNumberFormat="1" applyFont="1" applyFill="1" applyBorder="1" applyAlignment="1" applyProtection="1">
      <alignment horizontal="center" vertical="center"/>
      <protection locked="0"/>
    </xf>
    <xf numFmtId="166" fontId="23" fillId="0" borderId="1" xfId="1" applyNumberFormat="1" applyFont="1" applyFill="1" applyBorder="1" applyAlignment="1" applyProtection="1">
      <alignment horizontal="right" vertical="center"/>
      <protection locked="0"/>
    </xf>
    <xf numFmtId="2" fontId="23" fillId="0" borderId="1" xfId="1" applyNumberFormat="1" applyFont="1" applyFill="1" applyBorder="1" applyAlignment="1" applyProtection="1">
      <alignment horizontal="right" vertical="center"/>
      <protection locked="0"/>
    </xf>
    <xf numFmtId="3" fontId="23" fillId="0" borderId="1" xfId="1" applyNumberFormat="1" applyFont="1" applyBorder="1" applyAlignment="1" applyProtection="1">
      <alignment horizontal="right" vertical="center"/>
      <protection locked="0"/>
    </xf>
    <xf numFmtId="3" fontId="23" fillId="0" borderId="1" xfId="1" applyNumberFormat="1" applyFont="1" applyFill="1" applyBorder="1" applyAlignment="1" applyProtection="1">
      <alignment horizontal="right" vertical="center"/>
      <protection locked="0"/>
    </xf>
    <xf numFmtId="170" fontId="23" fillId="0" borderId="1" xfId="1" applyNumberFormat="1" applyFont="1" applyBorder="1" applyAlignment="1" applyProtection="1">
      <alignment horizontal="right" vertical="center"/>
      <protection locked="0"/>
    </xf>
    <xf numFmtId="170" fontId="23" fillId="0" borderId="1" xfId="1" applyNumberFormat="1" applyFont="1" applyFill="1" applyBorder="1" applyAlignment="1" applyProtection="1">
      <alignment horizontal="right" vertical="center"/>
      <protection locked="0"/>
    </xf>
    <xf numFmtId="1" fontId="14" fillId="0" borderId="12" xfId="0" applyNumberFormat="1" applyFont="1" applyFill="1" applyBorder="1" applyAlignment="1" applyProtection="1">
      <alignment horizontal="right" vertical="center"/>
    </xf>
    <xf numFmtId="168" fontId="14" fillId="0" borderId="12" xfId="0" applyNumberFormat="1" applyFont="1" applyBorder="1" applyAlignment="1" applyProtection="1">
      <alignment horizontal="right" vertical="center"/>
    </xf>
    <xf numFmtId="168" fontId="14" fillId="0" borderId="8" xfId="0" applyNumberFormat="1" applyFont="1" applyBorder="1" applyAlignment="1" applyProtection="1">
      <alignment horizontal="right" vertical="center"/>
    </xf>
    <xf numFmtId="168" fontId="14" fillId="0" borderId="11" xfId="0" applyNumberFormat="1" applyFont="1" applyBorder="1" applyAlignment="1" applyProtection="1">
      <alignment horizontal="right" vertical="center"/>
    </xf>
    <xf numFmtId="168" fontId="14" fillId="0" borderId="7" xfId="0" applyNumberFormat="1" applyFont="1" applyBorder="1" applyAlignment="1" applyProtection="1">
      <alignment horizontal="right" vertical="center"/>
    </xf>
    <xf numFmtId="168" fontId="14" fillId="0" borderId="17" xfId="0" applyNumberFormat="1" applyFont="1" applyBorder="1" applyAlignment="1" applyProtection="1">
      <alignment horizontal="right" vertical="center"/>
    </xf>
    <xf numFmtId="168" fontId="14" fillId="0" borderId="18" xfId="0" applyNumberFormat="1" applyFont="1" applyBorder="1" applyAlignment="1" applyProtection="1">
      <alignment horizontal="right" vertical="center"/>
    </xf>
    <xf numFmtId="4" fontId="15" fillId="0" borderId="3" xfId="0" applyNumberFormat="1" applyFont="1" applyBorder="1" applyAlignment="1" applyProtection="1">
      <alignment vertical="center"/>
    </xf>
    <xf numFmtId="0" fontId="4" fillId="0" borderId="0" xfId="0" applyNumberFormat="1" applyFont="1" applyFill="1" applyBorder="1" applyAlignment="1" applyProtection="1">
      <alignment horizontal="left" vertical="center"/>
    </xf>
    <xf numFmtId="49" fontId="4" fillId="0" borderId="2" xfId="0" applyNumberFormat="1" applyFont="1" applyFill="1" applyBorder="1" applyAlignment="1" applyProtection="1">
      <alignment horizontal="left" vertical="center"/>
    </xf>
    <xf numFmtId="0" fontId="4" fillId="0" borderId="2" xfId="0" applyNumberFormat="1" applyFont="1" applyBorder="1" applyProtection="1"/>
    <xf numFmtId="0" fontId="4" fillId="0" borderId="2" xfId="0" applyNumberFormat="1" applyFont="1" applyFill="1" applyBorder="1" applyAlignment="1" applyProtection="1">
      <alignment horizontal="left" vertical="center"/>
    </xf>
    <xf numFmtId="0" fontId="4" fillId="0" borderId="2" xfId="0" applyNumberFormat="1" applyFont="1" applyBorder="1" applyAlignment="1" applyProtection="1">
      <alignment horizontal="left" vertical="center"/>
    </xf>
    <xf numFmtId="0" fontId="4" fillId="0" borderId="0" xfId="0" applyNumberFormat="1" applyFont="1" applyFill="1" applyBorder="1" applyAlignment="1" applyProtection="1">
      <alignment horizontal="right" vertical="center"/>
    </xf>
    <xf numFmtId="0" fontId="4" fillId="0" borderId="3" xfId="0" applyNumberFormat="1" applyFont="1" applyBorder="1" applyAlignment="1" applyProtection="1">
      <alignment horizontal="left" vertical="center"/>
    </xf>
    <xf numFmtId="0" fontId="4" fillId="0" borderId="3" xfId="0" applyNumberFormat="1" applyFont="1" applyFill="1" applyBorder="1" applyAlignment="1" applyProtection="1">
      <alignment horizontal="left" vertical="center"/>
    </xf>
    <xf numFmtId="164" fontId="4" fillId="0" borderId="3" xfId="0" applyNumberFormat="1" applyFont="1" applyFill="1" applyBorder="1" applyAlignment="1" applyProtection="1">
      <alignment horizontal="left" vertical="center"/>
    </xf>
    <xf numFmtId="0" fontId="4" fillId="0" borderId="3" xfId="0" applyNumberFormat="1" applyFont="1" applyBorder="1" applyProtection="1"/>
    <xf numFmtId="0" fontId="4" fillId="0" borderId="0" xfId="0" applyNumberFormat="1" applyFont="1" applyBorder="1" applyProtection="1"/>
    <xf numFmtId="49" fontId="4" fillId="0" borderId="3" xfId="0" applyNumberFormat="1" applyFont="1" applyBorder="1" applyProtection="1"/>
    <xf numFmtId="0" fontId="4" fillId="0" borderId="0" xfId="0" applyNumberFormat="1" applyFont="1" applyBorder="1" applyAlignment="1" applyProtection="1">
      <alignment horizontal="right"/>
    </xf>
    <xf numFmtId="49" fontId="1" fillId="0" borderId="1" xfId="0" applyNumberFormat="1" applyFont="1" applyFill="1" applyBorder="1" applyAlignment="1" applyProtection="1">
      <alignment horizontal="right" vertical="center"/>
    </xf>
    <xf numFmtId="2" fontId="1" fillId="0" borderId="1" xfId="0" applyNumberFormat="1" applyFont="1" applyFill="1" applyBorder="1" applyAlignment="1" applyProtection="1">
      <alignment horizontal="left" vertical="center"/>
    </xf>
    <xf numFmtId="49" fontId="1" fillId="0" borderId="1" xfId="0" applyNumberFormat="1" applyFont="1" applyFill="1" applyBorder="1" applyAlignment="1" applyProtection="1">
      <alignment horizontal="left" vertical="center"/>
    </xf>
    <xf numFmtId="49" fontId="7" fillId="0" borderId="1" xfId="0" applyNumberFormat="1" applyFont="1" applyFill="1" applyBorder="1" applyAlignment="1" applyProtection="1">
      <alignment horizontal="center" vertical="center"/>
    </xf>
    <xf numFmtId="49" fontId="17" fillId="0" borderId="1" xfId="0" applyNumberFormat="1" applyFont="1" applyFill="1" applyBorder="1" applyAlignment="1" applyProtection="1">
      <alignment horizontal="center" vertical="center"/>
    </xf>
    <xf numFmtId="0" fontId="0" fillId="0" borderId="1" xfId="0" applyFill="1" applyBorder="1" applyAlignment="1" applyProtection="1">
      <alignment vertical="center"/>
    </xf>
    <xf numFmtId="49" fontId="2" fillId="0" borderId="20" xfId="0" applyNumberFormat="1" applyFont="1" applyBorder="1" applyAlignment="1" applyProtection="1">
      <alignment horizontal="center"/>
    </xf>
    <xf numFmtId="49" fontId="1" fillId="0" borderId="20" xfId="0" applyNumberFormat="1" applyFont="1" applyBorder="1" applyAlignment="1" applyProtection="1">
      <alignment horizontal="center"/>
    </xf>
    <xf numFmtId="0" fontId="1" fillId="0" borderId="20" xfId="0" applyNumberFormat="1" applyFont="1" applyBorder="1" applyAlignment="1" applyProtection="1">
      <alignment horizontal="center"/>
    </xf>
    <xf numFmtId="49" fontId="1" fillId="5" borderId="20" xfId="0" applyNumberFormat="1" applyFont="1" applyFill="1" applyBorder="1" applyAlignment="1" applyProtection="1">
      <alignment horizontal="center"/>
    </xf>
    <xf numFmtId="49" fontId="2" fillId="0" borderId="1" xfId="0" applyNumberFormat="1" applyFont="1" applyFill="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21" xfId="0" applyNumberFormat="1" applyFont="1" applyBorder="1" applyAlignment="1" applyProtection="1">
      <alignment horizontal="center" vertical="top"/>
    </xf>
    <xf numFmtId="49" fontId="1" fillId="0" borderId="21" xfId="0" applyNumberFormat="1" applyFont="1" applyBorder="1" applyAlignment="1" applyProtection="1">
      <alignment horizontal="center" vertical="top"/>
    </xf>
    <xf numFmtId="0" fontId="1" fillId="0" borderId="21" xfId="0" applyNumberFormat="1" applyFont="1" applyBorder="1" applyAlignment="1" applyProtection="1">
      <alignment horizontal="center" vertical="top"/>
    </xf>
    <xf numFmtId="49" fontId="1" fillId="5" borderId="21" xfId="0" applyNumberFormat="1" applyFont="1" applyFill="1" applyBorder="1" applyAlignment="1" applyProtection="1">
      <alignment horizontal="center" vertical="top"/>
    </xf>
    <xf numFmtId="49" fontId="1" fillId="0" borderId="1" xfId="0" applyNumberFormat="1" applyFont="1" applyBorder="1" applyAlignment="1" applyProtection="1">
      <alignment horizontal="center" vertical="center"/>
    </xf>
    <xf numFmtId="0" fontId="1" fillId="0" borderId="1" xfId="0" applyNumberFormat="1" applyFont="1" applyBorder="1" applyAlignment="1" applyProtection="1">
      <alignment horizontal="center" vertical="center"/>
    </xf>
    <xf numFmtId="49" fontId="1" fillId="5" borderId="1" xfId="0" applyNumberFormat="1" applyFont="1" applyFill="1" applyBorder="1" applyAlignment="1" applyProtection="1">
      <alignment horizontal="center" vertical="center"/>
    </xf>
    <xf numFmtId="49" fontId="21" fillId="5" borderId="1" xfId="0" applyNumberFormat="1" applyFont="1" applyFill="1" applyBorder="1" applyAlignment="1" applyProtection="1">
      <alignment horizontal="center" vertical="center"/>
    </xf>
    <xf numFmtId="1" fontId="1" fillId="0" borderId="1" xfId="0" applyNumberFormat="1" applyFont="1" applyBorder="1" applyAlignment="1" applyProtection="1">
      <alignment horizontal="center" vertical="center"/>
    </xf>
    <xf numFmtId="164" fontId="1" fillId="0" borderId="1" xfId="1" applyNumberFormat="1" applyFont="1" applyBorder="1" applyAlignment="1" applyProtection="1">
      <alignment horizontal="center" vertical="center"/>
    </xf>
    <xf numFmtId="0" fontId="1" fillId="0" borderId="1" xfId="1" applyNumberFormat="1" applyFont="1" applyBorder="1" applyAlignment="1" applyProtection="1">
      <alignment horizontal="left" vertical="center"/>
    </xf>
    <xf numFmtId="170" fontId="1" fillId="0" borderId="1" xfId="1" applyNumberFormat="1" applyFont="1" applyBorder="1" applyAlignment="1" applyProtection="1">
      <alignment horizontal="right" vertical="center"/>
    </xf>
    <xf numFmtId="4" fontId="1" fillId="0" borderId="1" xfId="1" applyNumberFormat="1" applyFont="1" applyBorder="1" applyAlignment="1" applyProtection="1">
      <alignment horizontal="right" vertical="center"/>
    </xf>
    <xf numFmtId="2" fontId="1" fillId="0" borderId="1" xfId="1" applyNumberFormat="1" applyFont="1" applyBorder="1" applyAlignment="1" applyProtection="1">
      <alignment horizontal="right" vertical="center"/>
    </xf>
    <xf numFmtId="2" fontId="1" fillId="5" borderId="1" xfId="0" applyNumberFormat="1" applyFont="1" applyFill="1" applyBorder="1" applyAlignment="1" applyProtection="1">
      <alignment horizontal="right" vertical="center"/>
    </xf>
    <xf numFmtId="4" fontId="1" fillId="5" borderId="1" xfId="0" applyNumberFormat="1" applyFont="1" applyFill="1" applyBorder="1" applyAlignment="1" applyProtection="1">
      <alignment horizontal="right" vertical="center"/>
    </xf>
    <xf numFmtId="165" fontId="1" fillId="5" borderId="1" xfId="0" applyNumberFormat="1" applyFont="1" applyFill="1" applyBorder="1" applyAlignment="1" applyProtection="1">
      <alignment horizontal="right" vertical="center"/>
    </xf>
    <xf numFmtId="2" fontId="1" fillId="0" borderId="1" xfId="0" applyNumberFormat="1" applyFont="1" applyFill="1" applyBorder="1" applyAlignment="1" applyProtection="1">
      <alignment vertical="center"/>
    </xf>
    <xf numFmtId="2" fontId="1" fillId="0" borderId="1" xfId="0" applyNumberFormat="1" applyFont="1" applyBorder="1" applyAlignment="1" applyProtection="1">
      <alignment vertical="center"/>
    </xf>
    <xf numFmtId="1" fontId="1" fillId="0" borderId="1" xfId="0" applyNumberFormat="1" applyFont="1" applyFill="1" applyBorder="1" applyAlignment="1" applyProtection="1">
      <alignment horizontal="center" vertical="center"/>
    </xf>
    <xf numFmtId="49" fontId="1" fillId="0" borderId="1" xfId="1" applyNumberFormat="1" applyFont="1" applyBorder="1" applyAlignment="1" applyProtection="1">
      <alignment vertical="center"/>
    </xf>
    <xf numFmtId="2" fontId="1" fillId="2" borderId="1" xfId="0" applyNumberFormat="1" applyFont="1" applyFill="1" applyBorder="1" applyAlignment="1" applyProtection="1">
      <alignment vertical="center"/>
    </xf>
    <xf numFmtId="4" fontId="1" fillId="2" borderId="1" xfId="0" applyNumberFormat="1" applyFont="1" applyFill="1" applyBorder="1" applyAlignment="1" applyProtection="1">
      <alignment vertical="center"/>
    </xf>
    <xf numFmtId="165" fontId="1" fillId="2" borderId="1" xfId="0" applyNumberFormat="1" applyFont="1" applyFill="1" applyBorder="1" applyAlignment="1" applyProtection="1">
      <alignment vertical="center"/>
    </xf>
    <xf numFmtId="0" fontId="22" fillId="0" borderId="1" xfId="0" applyNumberFormat="1" applyFont="1" applyBorder="1" applyAlignment="1" applyProtection="1">
      <alignment horizontal="center" vertical="center"/>
    </xf>
    <xf numFmtId="49" fontId="22" fillId="2" borderId="1" xfId="0" applyNumberFormat="1" applyFont="1" applyFill="1" applyBorder="1" applyAlignment="1" applyProtection="1">
      <alignment horizontal="center" vertical="center"/>
    </xf>
    <xf numFmtId="164" fontId="1" fillId="0" borderId="1" xfId="0" applyNumberFormat="1" applyFont="1" applyBorder="1" applyAlignment="1" applyProtection="1">
      <alignment vertical="center"/>
    </xf>
    <xf numFmtId="0" fontId="1" fillId="0" borderId="1" xfId="0" applyNumberFormat="1" applyFont="1" applyBorder="1" applyAlignment="1" applyProtection="1">
      <alignment vertical="center"/>
    </xf>
    <xf numFmtId="166" fontId="1" fillId="0" borderId="1" xfId="0" applyNumberFormat="1" applyFont="1" applyBorder="1" applyAlignment="1" applyProtection="1">
      <alignment vertical="center"/>
    </xf>
    <xf numFmtId="166" fontId="3" fillId="0" borderId="1" xfId="0" applyNumberFormat="1" applyFont="1" applyBorder="1" applyAlignment="1" applyProtection="1">
      <alignment vertical="center"/>
    </xf>
    <xf numFmtId="49" fontId="2" fillId="0" borderId="21" xfId="0" applyNumberFormat="1" applyFont="1" applyBorder="1" applyAlignment="1" applyProtection="1">
      <alignment horizontal="center" vertical="center"/>
    </xf>
    <xf numFmtId="49" fontId="2" fillId="0" borderId="1" xfId="0" applyNumberFormat="1" applyFont="1" applyFill="1" applyBorder="1" applyAlignment="1" applyProtection="1">
      <alignment horizontal="right" vertical="center"/>
    </xf>
    <xf numFmtId="49" fontId="2" fillId="4" borderId="20" xfId="0" applyNumberFormat="1" applyFont="1" applyFill="1" applyBorder="1" applyAlignment="1" applyProtection="1">
      <alignment horizontal="center"/>
    </xf>
    <xf numFmtId="49" fontId="2" fillId="4" borderId="21" xfId="0" applyNumberFormat="1" applyFont="1" applyFill="1" applyBorder="1" applyAlignment="1" applyProtection="1">
      <alignment horizontal="center" vertical="top"/>
    </xf>
    <xf numFmtId="49" fontId="2" fillId="4" borderId="1" xfId="0" applyNumberFormat="1" applyFont="1" applyFill="1" applyBorder="1" applyAlignment="1" applyProtection="1">
      <alignment horizontal="center" vertical="center"/>
    </xf>
    <xf numFmtId="2" fontId="8" fillId="4" borderId="1" xfId="0" applyNumberFormat="1" applyFont="1" applyFill="1" applyBorder="1" applyAlignment="1" applyProtection="1">
      <alignment horizontal="right" vertical="center"/>
    </xf>
    <xf numFmtId="4" fontId="8" fillId="4" borderId="1" xfId="0" applyNumberFormat="1" applyFont="1" applyFill="1" applyBorder="1" applyAlignment="1" applyProtection="1">
      <alignment horizontal="right" vertical="center"/>
    </xf>
    <xf numFmtId="167" fontId="8" fillId="4" borderId="1" xfId="0" applyNumberFormat="1" applyFont="1" applyFill="1" applyBorder="1" applyAlignment="1" applyProtection="1">
      <alignment horizontal="right" vertical="center"/>
    </xf>
    <xf numFmtId="165" fontId="8" fillId="4" borderId="1" xfId="0" applyNumberFormat="1" applyFont="1" applyFill="1" applyBorder="1" applyAlignment="1" applyProtection="1">
      <alignment horizontal="right" vertical="center"/>
    </xf>
    <xf numFmtId="166" fontId="23" fillId="0" borderId="1" xfId="0" applyNumberFormat="1" applyFont="1" applyBorder="1" applyAlignment="1" applyProtection="1">
      <alignment horizontal="right" vertical="center"/>
      <protection locked="0"/>
    </xf>
    <xf numFmtId="3" fontId="23" fillId="0" borderId="1" xfId="0" applyNumberFormat="1" applyFont="1" applyBorder="1" applyAlignment="1" applyProtection="1">
      <alignment horizontal="right" vertical="center"/>
      <protection locked="0"/>
    </xf>
    <xf numFmtId="170" fontId="23" fillId="0" borderId="1" xfId="0" applyNumberFormat="1" applyFont="1" applyBorder="1" applyAlignment="1" applyProtection="1">
      <alignment horizontal="right" vertical="center"/>
      <protection locked="0"/>
    </xf>
    <xf numFmtId="2" fontId="23" fillId="0" borderId="1" xfId="0" applyNumberFormat="1" applyFont="1" applyBorder="1" applyAlignment="1" applyProtection="1">
      <alignment horizontal="right" vertical="center"/>
      <protection locked="0"/>
    </xf>
    <xf numFmtId="164" fontId="23" fillId="0" borderId="1" xfId="0" applyNumberFormat="1" applyFont="1" applyBorder="1" applyAlignment="1" applyProtection="1">
      <alignment horizontal="center" vertical="center"/>
      <protection locked="0"/>
    </xf>
    <xf numFmtId="49" fontId="23" fillId="0" borderId="1" xfId="1" applyNumberFormat="1" applyFont="1" applyBorder="1" applyAlignment="1" applyProtection="1">
      <alignment horizontal="left" vertical="center"/>
      <protection locked="0"/>
    </xf>
    <xf numFmtId="49" fontId="23" fillId="0" borderId="1" xfId="1" applyNumberFormat="1" applyFont="1" applyFill="1" applyBorder="1" applyAlignment="1" applyProtection="1">
      <alignment horizontal="left" vertical="center"/>
      <protection locked="0"/>
    </xf>
    <xf numFmtId="49" fontId="23" fillId="0" borderId="1" xfId="0" applyNumberFormat="1" applyFont="1" applyBorder="1" applyAlignment="1" applyProtection="1">
      <alignment horizontal="left" vertical="center"/>
      <protection locked="0"/>
    </xf>
    <xf numFmtId="0" fontId="16" fillId="0" borderId="0" xfId="0" applyNumberFormat="1" applyFont="1" applyBorder="1" applyAlignment="1" applyProtection="1">
      <alignment vertical="center"/>
    </xf>
    <xf numFmtId="0" fontId="4" fillId="0" borderId="11" xfId="0" applyNumberFormat="1" applyFont="1" applyFill="1" applyBorder="1" applyAlignment="1" applyProtection="1">
      <alignment horizontal="left" vertical="center"/>
    </xf>
    <xf numFmtId="0" fontId="4" fillId="0" borderId="0" xfId="0" applyNumberFormat="1" applyFont="1" applyBorder="1" applyAlignment="1" applyProtection="1">
      <alignment horizontal="right" vertical="center"/>
    </xf>
    <xf numFmtId="0" fontId="4" fillId="0" borderId="11" xfId="0" applyNumberFormat="1" applyFont="1" applyBorder="1" applyAlignment="1" applyProtection="1">
      <alignment horizontal="left" vertical="center"/>
    </xf>
    <xf numFmtId="0" fontId="11" fillId="0" borderId="11" xfId="0" applyFont="1" applyBorder="1" applyAlignment="1" applyProtection="1">
      <alignment vertical="center"/>
    </xf>
    <xf numFmtId="2" fontId="11" fillId="0" borderId="0" xfId="0" applyNumberFormat="1" applyFont="1" applyBorder="1" applyAlignment="1" applyProtection="1">
      <alignment horizontal="right" vertical="center"/>
    </xf>
    <xf numFmtId="0" fontId="11" fillId="0" borderId="11"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0" xfId="0" applyFont="1" applyAlignment="1" applyProtection="1">
      <alignment vertical="center"/>
    </xf>
    <xf numFmtId="0" fontId="11" fillId="0" borderId="7" xfId="0" applyFont="1" applyBorder="1" applyAlignment="1" applyProtection="1">
      <alignment vertical="center"/>
    </xf>
    <xf numFmtId="0" fontId="11" fillId="0" borderId="0" xfId="0" applyFont="1" applyAlignment="1" applyProtection="1">
      <alignment horizontal="left" vertical="center"/>
    </xf>
    <xf numFmtId="0" fontId="11" fillId="0" borderId="0" xfId="0" applyFont="1" applyBorder="1" applyAlignment="1" applyProtection="1">
      <alignment horizontal="left" vertical="center"/>
    </xf>
    <xf numFmtId="165" fontId="11" fillId="0" borderId="0" xfId="0" applyNumberFormat="1" applyFont="1" applyBorder="1" applyAlignment="1" applyProtection="1">
      <alignment horizontal="left" vertical="center"/>
    </xf>
    <xf numFmtId="0" fontId="11" fillId="0" borderId="9" xfId="0" applyFont="1" applyBorder="1" applyAlignment="1" applyProtection="1">
      <alignment horizontal="right" vertical="center"/>
    </xf>
    <xf numFmtId="169" fontId="14" fillId="0" borderId="12" xfId="0" applyNumberFormat="1" applyFont="1" applyBorder="1" applyAlignment="1" applyProtection="1">
      <alignment horizontal="right" vertical="center"/>
    </xf>
    <xf numFmtId="169" fontId="14" fillId="0" borderId="8" xfId="0" applyNumberFormat="1" applyFont="1" applyBorder="1" applyAlignment="1" applyProtection="1">
      <alignment horizontal="right" vertical="center"/>
    </xf>
    <xf numFmtId="169" fontId="14" fillId="0" borderId="11" xfId="0" applyNumberFormat="1" applyFont="1" applyBorder="1" applyAlignment="1" applyProtection="1">
      <alignment horizontal="right" vertical="center"/>
    </xf>
    <xf numFmtId="169" fontId="14" fillId="0" borderId="17" xfId="0" applyNumberFormat="1" applyFont="1" applyBorder="1" applyAlignment="1" applyProtection="1">
      <alignment horizontal="right" vertical="center"/>
    </xf>
    <xf numFmtId="169" fontId="14" fillId="0" borderId="7" xfId="0" applyNumberFormat="1" applyFont="1" applyBorder="1" applyAlignment="1" applyProtection="1">
      <alignment horizontal="right" vertical="center"/>
    </xf>
    <xf numFmtId="169" fontId="14" fillId="0" borderId="18" xfId="0" applyNumberFormat="1" applyFont="1" applyBorder="1" applyAlignment="1" applyProtection="1">
      <alignment horizontal="right" vertical="center"/>
    </xf>
    <xf numFmtId="168" fontId="15" fillId="0" borderId="3" xfId="0" applyNumberFormat="1" applyFont="1" applyBorder="1" applyAlignment="1" applyProtection="1">
      <alignment vertical="center"/>
    </xf>
    <xf numFmtId="4" fontId="15" fillId="0" borderId="3" xfId="0" applyNumberFormat="1" applyFont="1" applyBorder="1" applyAlignment="1" applyProtection="1">
      <alignment horizontal="right" vertical="center"/>
    </xf>
    <xf numFmtId="0" fontId="15" fillId="5" borderId="9" xfId="0" applyFont="1" applyFill="1" applyBorder="1" applyAlignment="1" applyProtection="1">
      <alignment horizontal="left" vertical="center"/>
    </xf>
    <xf numFmtId="0" fontId="16" fillId="5" borderId="10" xfId="0" applyNumberFormat="1" applyFont="1" applyFill="1" applyBorder="1" applyAlignment="1" applyProtection="1">
      <alignment horizontal="left" vertical="center"/>
    </xf>
    <xf numFmtId="0" fontId="11" fillId="0" borderId="0" xfId="0" applyFont="1" applyBorder="1" applyAlignment="1" applyProtection="1">
      <alignment horizontal="right" vertical="center"/>
    </xf>
    <xf numFmtId="0" fontId="15" fillId="5" borderId="9" xfId="0" applyFont="1" applyFill="1" applyBorder="1" applyAlignment="1" applyProtection="1">
      <alignment vertical="center"/>
    </xf>
    <xf numFmtId="0" fontId="15" fillId="5" borderId="9" xfId="0" applyFont="1" applyFill="1" applyBorder="1" applyAlignment="1" applyProtection="1">
      <alignment horizontal="center" vertical="center"/>
    </xf>
    <xf numFmtId="2" fontId="15" fillId="5" borderId="16" xfId="0" applyNumberFormat="1" applyFont="1" applyFill="1" applyBorder="1" applyAlignment="1" applyProtection="1">
      <alignment horizontal="center" vertical="center"/>
    </xf>
    <xf numFmtId="2" fontId="15" fillId="5" borderId="18" xfId="0" applyNumberFormat="1" applyFont="1" applyFill="1" applyBorder="1" applyAlignment="1" applyProtection="1">
      <alignment horizontal="center" vertical="center"/>
    </xf>
    <xf numFmtId="0" fontId="16" fillId="5" borderId="3" xfId="0" applyNumberFormat="1" applyFont="1" applyFill="1" applyBorder="1" applyAlignment="1" applyProtection="1">
      <alignment horizontal="left" vertical="center"/>
    </xf>
    <xf numFmtId="1" fontId="14" fillId="0" borderId="0" xfId="0" applyNumberFormat="1" applyFont="1" applyFill="1" applyBorder="1" applyAlignment="1" applyProtection="1">
      <alignment horizontal="right" vertical="center"/>
    </xf>
    <xf numFmtId="168" fontId="14" fillId="0" borderId="0" xfId="0" applyNumberFormat="1" applyFont="1" applyBorder="1" applyAlignment="1" applyProtection="1">
      <alignment horizontal="right" vertical="center"/>
    </xf>
    <xf numFmtId="168" fontId="14" fillId="0" borderId="2" xfId="0" applyNumberFormat="1" applyFont="1" applyBorder="1" applyAlignment="1" applyProtection="1">
      <alignment horizontal="right" vertical="center"/>
    </xf>
    <xf numFmtId="0" fontId="16" fillId="0" borderId="11" xfId="0" applyNumberFormat="1" applyFont="1" applyBorder="1" applyAlignment="1" applyProtection="1">
      <alignment vertical="center"/>
    </xf>
    <xf numFmtId="0" fontId="4" fillId="0" borderId="11" xfId="0" applyNumberFormat="1" applyFont="1" applyBorder="1" applyAlignment="1" applyProtection="1">
      <alignment horizontal="right" vertical="center"/>
    </xf>
    <xf numFmtId="2" fontId="11" fillId="0" borderId="11" xfId="0" applyNumberFormat="1" applyFont="1" applyBorder="1" applyAlignment="1" applyProtection="1">
      <alignment horizontal="right" vertical="center"/>
    </xf>
    <xf numFmtId="0" fontId="11" fillId="0" borderId="11" xfId="0" applyFont="1" applyBorder="1" applyAlignment="1" applyProtection="1">
      <alignment horizontal="right" vertical="center"/>
    </xf>
    <xf numFmtId="0" fontId="11" fillId="0" borderId="2" xfId="0" applyFont="1" applyBorder="1" applyAlignment="1" applyProtection="1">
      <alignment horizontal="right" vertical="center"/>
    </xf>
    <xf numFmtId="0" fontId="4" fillId="0" borderId="0" xfId="0" applyNumberFormat="1" applyFont="1" applyBorder="1" applyAlignment="1" applyProtection="1">
      <alignment vertical="center"/>
    </xf>
    <xf numFmtId="0" fontId="4" fillId="0" borderId="0" xfId="0" applyNumberFormat="1" applyFont="1" applyFill="1" applyBorder="1" applyAlignment="1" applyProtection="1">
      <alignment horizontal="center" vertical="center"/>
    </xf>
    <xf numFmtId="0" fontId="4" fillId="0" borderId="0" xfId="0" applyNumberFormat="1" applyFont="1" applyBorder="1" applyAlignment="1" applyProtection="1">
      <alignment horizontal="center"/>
    </xf>
    <xf numFmtId="0" fontId="11" fillId="0" borderId="0" xfId="0" applyFont="1" applyAlignment="1" applyProtection="1"/>
    <xf numFmtId="0" fontId="11" fillId="0" borderId="0" xfId="0" applyFont="1" applyProtection="1"/>
    <xf numFmtId="0" fontId="11" fillId="0" borderId="0" xfId="0" applyFont="1" applyAlignment="1" applyProtection="1">
      <alignment horizontal="center"/>
    </xf>
    <xf numFmtId="2" fontId="11" fillId="0" borderId="0" xfId="0" applyNumberFormat="1" applyFont="1" applyBorder="1" applyAlignment="1" applyProtection="1">
      <alignment vertical="center"/>
    </xf>
    <xf numFmtId="0" fontId="11" fillId="0" borderId="0" xfId="0" applyFont="1" applyBorder="1" applyProtection="1"/>
    <xf numFmtId="0" fontId="0" fillId="0" borderId="0" xfId="0" applyBorder="1" applyAlignment="1" applyProtection="1">
      <alignment vertical="center"/>
    </xf>
    <xf numFmtId="0" fontId="0" fillId="0" borderId="0" xfId="0" applyAlignment="1" applyProtection="1">
      <alignment vertical="center"/>
    </xf>
    <xf numFmtId="0" fontId="0" fillId="0" borderId="0" xfId="0" applyProtection="1"/>
    <xf numFmtId="2" fontId="0" fillId="0" borderId="0" xfId="0" applyNumberFormat="1" applyBorder="1" applyAlignment="1" applyProtection="1">
      <alignment vertical="center"/>
    </xf>
    <xf numFmtId="0" fontId="11" fillId="0" borderId="0" xfId="0" applyFont="1" applyBorder="1" applyAlignment="1" applyProtection="1">
      <alignment horizontal="left" vertical="top"/>
    </xf>
    <xf numFmtId="0" fontId="0" fillId="0" borderId="0" xfId="0" applyBorder="1" applyProtection="1"/>
    <xf numFmtId="1" fontId="4" fillId="0" borderId="0" xfId="0" applyNumberFormat="1" applyFont="1" applyBorder="1" applyProtection="1"/>
    <xf numFmtId="167" fontId="4" fillId="0" borderId="0" xfId="0" applyNumberFormat="1" applyFont="1" applyBorder="1" applyProtection="1"/>
    <xf numFmtId="0" fontId="26" fillId="0" borderId="0" xfId="0" applyFont="1" applyAlignment="1" applyProtection="1">
      <alignment vertical="center"/>
    </xf>
    <xf numFmtId="2" fontId="26" fillId="0" borderId="0" xfId="0" applyNumberFormat="1" applyFont="1" applyBorder="1" applyAlignment="1" applyProtection="1">
      <alignment vertical="center"/>
    </xf>
    <xf numFmtId="0" fontId="11" fillId="0" borderId="0" xfId="0" applyFont="1" applyBorder="1" applyAlignment="1" applyProtection="1">
      <alignment horizontal="right" vertical="top"/>
    </xf>
    <xf numFmtId="0" fontId="11" fillId="0" borderId="0" xfId="0" applyNumberFormat="1" applyFont="1" applyAlignment="1" applyProtection="1">
      <alignment horizontal="left" vertical="center"/>
    </xf>
    <xf numFmtId="0" fontId="11" fillId="0" borderId="0" xfId="0" applyFont="1" applyBorder="1" applyAlignment="1" applyProtection="1">
      <alignment vertical="center"/>
    </xf>
    <xf numFmtId="2" fontId="14" fillId="0" borderId="0" xfId="0" applyNumberFormat="1" applyFont="1" applyBorder="1" applyAlignment="1" applyProtection="1">
      <alignment horizontal="left" vertical="center"/>
    </xf>
    <xf numFmtId="165" fontId="15" fillId="0" borderId="0" xfId="0" applyNumberFormat="1" applyFont="1" applyAlignment="1" applyProtection="1">
      <alignment horizontal="right" vertical="center"/>
    </xf>
    <xf numFmtId="0" fontId="15" fillId="5" borderId="16" xfId="0" applyFont="1" applyFill="1" applyBorder="1" applyAlignment="1" applyProtection="1">
      <alignment vertical="top"/>
    </xf>
    <xf numFmtId="0" fontId="11" fillId="0" borderId="16" xfId="0" applyFont="1" applyBorder="1" applyAlignment="1" applyProtection="1">
      <alignment vertical="top"/>
    </xf>
    <xf numFmtId="0" fontId="11" fillId="0" borderId="16" xfId="0" applyFont="1" applyBorder="1" applyAlignment="1" applyProtection="1">
      <alignment horizontal="center" vertical="center"/>
    </xf>
    <xf numFmtId="0" fontId="11" fillId="0" borderId="19" xfId="0" applyFont="1" applyBorder="1" applyAlignment="1" applyProtection="1">
      <alignment vertical="center"/>
    </xf>
    <xf numFmtId="168" fontId="14" fillId="0" borderId="19" xfId="0" applyNumberFormat="1" applyFont="1" applyBorder="1" applyAlignment="1" applyProtection="1">
      <alignment horizontal="right" vertical="center"/>
    </xf>
    <xf numFmtId="168" fontId="14" fillId="0" borderId="19" xfId="0" applyNumberFormat="1" applyFont="1" applyBorder="1" applyAlignment="1" applyProtection="1">
      <alignment vertical="center"/>
    </xf>
    <xf numFmtId="0" fontId="11" fillId="0" borderId="18" xfId="0" applyFont="1" applyBorder="1" applyAlignment="1" applyProtection="1">
      <alignment vertical="center"/>
    </xf>
    <xf numFmtId="168" fontId="14" fillId="0" borderId="18" xfId="0" applyNumberFormat="1" applyFont="1" applyBorder="1" applyAlignment="1" applyProtection="1">
      <alignment vertical="center"/>
    </xf>
    <xf numFmtId="0" fontId="26" fillId="0" borderId="0" xfId="0" applyFont="1" applyBorder="1" applyAlignment="1" applyProtection="1">
      <alignment vertical="center"/>
    </xf>
    <xf numFmtId="2" fontId="11" fillId="0" borderId="2" xfId="0" applyNumberFormat="1" applyFont="1" applyBorder="1" applyAlignment="1" applyProtection="1">
      <alignment vertical="center"/>
    </xf>
    <xf numFmtId="0" fontId="11" fillId="0" borderId="2" xfId="0" applyFont="1" applyBorder="1" applyAlignment="1" applyProtection="1">
      <alignment vertical="center"/>
    </xf>
    <xf numFmtId="49" fontId="7" fillId="0" borderId="1" xfId="0" applyNumberFormat="1" applyFont="1" applyFill="1" applyBorder="1" applyAlignment="1" applyProtection="1">
      <alignment horizontal="center" vertical="center"/>
    </xf>
    <xf numFmtId="49" fontId="1" fillId="0" borderId="1" xfId="0" applyNumberFormat="1" applyFont="1" applyFill="1" applyBorder="1" applyAlignment="1" applyProtection="1">
      <alignment horizontal="left" vertical="center"/>
    </xf>
    <xf numFmtId="0" fontId="11" fillId="0" borderId="3" xfId="0" applyFont="1" applyBorder="1" applyAlignment="1" applyProtection="1">
      <alignment vertical="center"/>
    </xf>
    <xf numFmtId="164" fontId="23" fillId="0" borderId="1" xfId="0" applyNumberFormat="1" applyFont="1" applyBorder="1" applyAlignment="1" applyProtection="1">
      <alignment vertical="center"/>
    </xf>
    <xf numFmtId="49" fontId="23" fillId="0" borderId="1" xfId="0" applyNumberFormat="1" applyFont="1" applyBorder="1" applyAlignment="1" applyProtection="1">
      <alignment vertical="center"/>
    </xf>
    <xf numFmtId="3" fontId="23" fillId="0" borderId="1" xfId="0" applyNumberFormat="1" applyFont="1" applyBorder="1" applyAlignment="1" applyProtection="1">
      <alignment vertical="center"/>
    </xf>
    <xf numFmtId="170" fontId="23" fillId="0" borderId="1" xfId="0" applyNumberFormat="1" applyFont="1" applyBorder="1" applyAlignment="1" applyProtection="1">
      <alignment vertical="center"/>
    </xf>
    <xf numFmtId="2" fontId="23" fillId="0" borderId="1" xfId="0" applyNumberFormat="1" applyFont="1" applyBorder="1" applyAlignment="1" applyProtection="1">
      <alignment vertical="center"/>
    </xf>
    <xf numFmtId="166" fontId="23" fillId="0" borderId="1" xfId="0" applyNumberFormat="1" applyFont="1" applyBorder="1" applyAlignment="1" applyProtection="1">
      <alignment vertical="center"/>
    </xf>
    <xf numFmtId="2" fontId="8" fillId="3" borderId="1" xfId="0" applyNumberFormat="1" applyFont="1" applyFill="1" applyBorder="1" applyAlignment="1" applyProtection="1">
      <alignment vertical="center"/>
    </xf>
    <xf numFmtId="4" fontId="8" fillId="3" borderId="1" xfId="0" applyNumberFormat="1" applyFont="1" applyFill="1" applyBorder="1" applyAlignment="1" applyProtection="1">
      <alignment vertical="center"/>
    </xf>
    <xf numFmtId="167" fontId="8" fillId="3" borderId="1" xfId="0" applyNumberFormat="1" applyFont="1" applyFill="1" applyBorder="1" applyAlignment="1" applyProtection="1">
      <alignment vertical="center"/>
    </xf>
    <xf numFmtId="165" fontId="8" fillId="3" borderId="1" xfId="0" applyNumberFormat="1" applyFont="1" applyFill="1" applyBorder="1" applyAlignment="1" applyProtection="1">
      <alignment vertical="center"/>
    </xf>
    <xf numFmtId="49" fontId="1" fillId="0" borderId="1" xfId="0" applyNumberFormat="1" applyFont="1" applyFill="1" applyBorder="1" applyAlignment="1" applyProtection="1">
      <alignment horizontal="center" vertical="center"/>
    </xf>
    <xf numFmtId="1" fontId="28" fillId="0" borderId="1" xfId="0" applyNumberFormat="1" applyFont="1" applyBorder="1" applyAlignment="1" applyProtection="1">
      <alignment horizontal="left" vertical="center"/>
    </xf>
    <xf numFmtId="49" fontId="28" fillId="0" borderId="0" xfId="0" applyNumberFormat="1" applyFont="1" applyAlignment="1" applyProtection="1">
      <alignment vertical="center"/>
    </xf>
    <xf numFmtId="0" fontId="1" fillId="0" borderId="0" xfId="0" applyFont="1" applyAlignment="1" applyProtection="1">
      <alignment vertical="center"/>
    </xf>
    <xf numFmtId="167" fontId="8" fillId="2" borderId="1" xfId="0" applyNumberFormat="1" applyFont="1" applyFill="1" applyBorder="1" applyAlignment="1" applyProtection="1">
      <alignment vertical="center"/>
    </xf>
    <xf numFmtId="0" fontId="31" fillId="0" borderId="0" xfId="0" applyFont="1" applyAlignment="1" applyProtection="1">
      <alignment horizontal="left" vertical="center"/>
    </xf>
    <xf numFmtId="0" fontId="31" fillId="0" borderId="0" xfId="0" applyFont="1" applyAlignment="1" applyProtection="1">
      <alignment vertical="center"/>
    </xf>
    <xf numFmtId="2" fontId="30" fillId="3" borderId="1" xfId="0" applyNumberFormat="1" applyFont="1" applyFill="1" applyBorder="1" applyAlignment="1" applyProtection="1">
      <alignment vertical="center"/>
    </xf>
    <xf numFmtId="4" fontId="30" fillId="3" borderId="1" xfId="0" applyNumberFormat="1" applyFont="1" applyFill="1" applyBorder="1" applyAlignment="1" applyProtection="1">
      <alignment vertical="center"/>
    </xf>
    <xf numFmtId="167" fontId="30" fillId="3" borderId="1" xfId="0" applyNumberFormat="1" applyFont="1" applyFill="1" applyBorder="1" applyAlignment="1" applyProtection="1">
      <alignment vertical="center"/>
    </xf>
    <xf numFmtId="164" fontId="3" fillId="0" borderId="1" xfId="0" applyNumberFormat="1" applyFont="1" applyBorder="1" applyAlignment="1" applyProtection="1">
      <alignment vertical="center"/>
    </xf>
    <xf numFmtId="49" fontId="3" fillId="0" borderId="1" xfId="0" applyNumberFormat="1" applyFont="1" applyBorder="1" applyAlignment="1" applyProtection="1">
      <alignment vertical="center"/>
    </xf>
    <xf numFmtId="2" fontId="30" fillId="2" borderId="1" xfId="0" applyNumberFormat="1" applyFont="1" applyFill="1" applyBorder="1" applyAlignment="1" applyProtection="1">
      <alignment vertical="center"/>
    </xf>
    <xf numFmtId="4" fontId="30" fillId="2" borderId="1" xfId="0" applyNumberFormat="1" applyFont="1" applyFill="1" applyBorder="1" applyAlignment="1" applyProtection="1">
      <alignment vertical="center"/>
    </xf>
    <xf numFmtId="167" fontId="30" fillId="2" borderId="1" xfId="0" applyNumberFormat="1" applyFont="1" applyFill="1" applyBorder="1" applyAlignment="1" applyProtection="1">
      <alignment vertical="center"/>
    </xf>
    <xf numFmtId="165" fontId="8" fillId="2" borderId="1" xfId="0" applyNumberFormat="1" applyFont="1" applyFill="1" applyBorder="1" applyAlignment="1" applyProtection="1">
      <alignment vertical="center"/>
    </xf>
    <xf numFmtId="0" fontId="29" fillId="0" borderId="0" xfId="2" applyFont="1" applyAlignment="1" applyProtection="1">
      <alignment vertical="center"/>
    </xf>
    <xf numFmtId="2" fontId="3" fillId="0" borderId="1" xfId="0" applyNumberFormat="1" applyFont="1" applyBorder="1" applyAlignment="1" applyProtection="1">
      <alignment vertical="center"/>
    </xf>
    <xf numFmtId="2" fontId="8" fillId="2" borderId="1" xfId="0" applyNumberFormat="1" applyFont="1" applyFill="1" applyBorder="1" applyAlignment="1" applyProtection="1">
      <alignment vertical="center"/>
    </xf>
    <xf numFmtId="4" fontId="8" fillId="2" borderId="1" xfId="0" applyNumberFormat="1" applyFont="1" applyFill="1" applyBorder="1" applyAlignment="1" applyProtection="1">
      <alignment vertical="center"/>
    </xf>
    <xf numFmtId="49" fontId="9" fillId="4" borderId="13" xfId="0" applyNumberFormat="1" applyFont="1" applyFill="1" applyBorder="1" applyAlignment="1" applyProtection="1">
      <alignment horizontal="center" vertical="center"/>
    </xf>
    <xf numFmtId="0" fontId="0" fillId="4" borderId="14" xfId="0" applyFill="1" applyBorder="1" applyAlignment="1" applyProtection="1">
      <alignment horizontal="center" vertical="center"/>
    </xf>
    <xf numFmtId="0" fontId="0" fillId="4" borderId="15" xfId="0" applyFill="1" applyBorder="1" applyAlignment="1" applyProtection="1">
      <alignment horizontal="center" vertical="center"/>
    </xf>
    <xf numFmtId="49" fontId="10" fillId="4" borderId="13" xfId="0" applyNumberFormat="1" applyFont="1" applyFill="1" applyBorder="1" applyAlignment="1" applyProtection="1">
      <alignment horizontal="center" vertical="center"/>
    </xf>
    <xf numFmtId="49" fontId="23" fillId="0" borderId="1" xfId="0" applyNumberFormat="1" applyFont="1" applyFill="1" applyBorder="1" applyAlignment="1" applyProtection="1">
      <alignment horizontal="left" vertical="center"/>
      <protection locked="0"/>
    </xf>
    <xf numFmtId="49" fontId="24" fillId="0" borderId="1" xfId="0" applyNumberFormat="1" applyFont="1" applyFill="1" applyBorder="1" applyAlignment="1" applyProtection="1">
      <alignment horizontal="left" vertical="center"/>
      <protection locked="0"/>
    </xf>
    <xf numFmtId="49" fontId="7" fillId="0" borderId="1" xfId="0" applyNumberFormat="1" applyFont="1" applyFill="1" applyBorder="1" applyAlignment="1" applyProtection="1">
      <alignment horizontal="center" vertical="center"/>
    </xf>
    <xf numFmtId="49" fontId="0" fillId="0" borderId="1" xfId="0" applyNumberFormat="1" applyFill="1" applyBorder="1" applyAlignment="1" applyProtection="1">
      <alignment horizontal="center" vertical="center"/>
    </xf>
    <xf numFmtId="164" fontId="23" fillId="0" borderId="1" xfId="0" applyNumberFormat="1" applyFont="1" applyFill="1" applyBorder="1" applyAlignment="1" applyProtection="1">
      <alignment horizontal="left" vertical="center"/>
      <protection locked="0"/>
    </xf>
    <xf numFmtId="164" fontId="24" fillId="0" borderId="1" xfId="0" applyNumberFormat="1" applyFont="1" applyFill="1" applyBorder="1" applyAlignment="1" applyProtection="1">
      <alignment horizontal="left" vertical="center"/>
      <protection locked="0"/>
    </xf>
    <xf numFmtId="0" fontId="23" fillId="0" borderId="1" xfId="0" applyNumberFormat="1" applyFont="1" applyFill="1" applyBorder="1" applyAlignment="1" applyProtection="1">
      <alignment horizontal="left" vertical="center"/>
      <protection locked="0"/>
    </xf>
    <xf numFmtId="0" fontId="24" fillId="0" borderId="1" xfId="0" applyNumberFormat="1" applyFont="1" applyFill="1" applyBorder="1" applyAlignment="1" applyProtection="1">
      <alignment horizontal="left" vertical="center"/>
      <protection locked="0"/>
    </xf>
    <xf numFmtId="0" fontId="24" fillId="0" borderId="1" xfId="0" applyFont="1" applyBorder="1" applyAlignment="1" applyProtection="1">
      <alignment horizontal="left" vertical="center"/>
      <protection locked="0"/>
    </xf>
    <xf numFmtId="49" fontId="1" fillId="0" borderId="1" xfId="0" applyNumberFormat="1" applyFont="1" applyFill="1" applyBorder="1" applyAlignment="1" applyProtection="1">
      <alignment horizontal="left" vertical="center"/>
    </xf>
    <xf numFmtId="0" fontId="0" fillId="0" borderId="1" xfId="0" applyBorder="1" applyAlignment="1" applyProtection="1">
      <alignment horizontal="left" vertical="center"/>
    </xf>
    <xf numFmtId="2" fontId="11" fillId="0" borderId="4" xfId="0" applyNumberFormat="1" applyFont="1" applyBorder="1" applyAlignment="1" applyProtection="1">
      <alignment horizontal="left" vertical="center" wrapText="1"/>
    </xf>
    <xf numFmtId="2" fontId="11" fillId="0" borderId="5" xfId="0" applyNumberFormat="1" applyFont="1" applyBorder="1" applyAlignment="1" applyProtection="1">
      <alignment horizontal="left" vertical="center" wrapText="1"/>
    </xf>
    <xf numFmtId="2" fontId="11" fillId="0" borderId="6" xfId="0" applyNumberFormat="1"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0"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11" fillId="0" borderId="11" xfId="0" applyFont="1" applyBorder="1" applyAlignment="1" applyProtection="1">
      <alignment vertical="center" wrapText="1"/>
    </xf>
    <xf numFmtId="0" fontId="11" fillId="0" borderId="0" xfId="0" applyFont="1" applyBorder="1" applyAlignment="1" applyProtection="1">
      <alignment vertical="center" wrapText="1"/>
    </xf>
    <xf numFmtId="0" fontId="11" fillId="0" borderId="12" xfId="0" applyFont="1" applyBorder="1" applyAlignment="1" applyProtection="1">
      <alignment vertical="center" wrapText="1"/>
    </xf>
    <xf numFmtId="0" fontId="11" fillId="0" borderId="7" xfId="0" applyFont="1" applyBorder="1" applyAlignment="1" applyProtection="1">
      <alignment vertical="center" wrapText="1"/>
    </xf>
    <xf numFmtId="0" fontId="11" fillId="0" borderId="2" xfId="0" applyFont="1" applyBorder="1" applyAlignment="1" applyProtection="1">
      <alignment vertical="center" wrapText="1"/>
    </xf>
    <xf numFmtId="0" fontId="11" fillId="0" borderId="8" xfId="0" applyFont="1" applyBorder="1" applyAlignment="1" applyProtection="1">
      <alignment vertical="center" wrapText="1"/>
    </xf>
    <xf numFmtId="0" fontId="15" fillId="0" borderId="4"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11"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12" xfId="0" applyFont="1" applyBorder="1" applyAlignment="1" applyProtection="1">
      <alignment horizontal="center" vertical="center" wrapText="1"/>
    </xf>
    <xf numFmtId="0" fontId="25" fillId="0" borderId="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8" xfId="0" applyFont="1" applyBorder="1" applyAlignment="1" applyProtection="1">
      <alignment horizontal="center" vertical="center" wrapText="1"/>
    </xf>
    <xf numFmtId="2" fontId="11" fillId="0" borderId="9" xfId="0" applyNumberFormat="1" applyFont="1" applyBorder="1" applyAlignment="1" applyProtection="1">
      <alignment horizontal="left" vertical="center"/>
    </xf>
    <xf numFmtId="2" fontId="0" fillId="0" borderId="3" xfId="0" applyNumberFormat="1" applyBorder="1" applyAlignment="1" applyProtection="1">
      <alignment horizontal="left" vertical="center"/>
    </xf>
    <xf numFmtId="2" fontId="0" fillId="0" borderId="10" xfId="0" applyNumberFormat="1" applyBorder="1" applyAlignment="1" applyProtection="1">
      <alignment horizontal="left" vertical="center"/>
    </xf>
    <xf numFmtId="0" fontId="11" fillId="0" borderId="3" xfId="0" applyFont="1" applyBorder="1" applyAlignment="1" applyProtection="1">
      <alignment vertical="center"/>
    </xf>
    <xf numFmtId="0" fontId="0" fillId="0" borderId="3" xfId="0" applyBorder="1" applyAlignment="1" applyProtection="1">
      <alignment vertical="center"/>
    </xf>
    <xf numFmtId="0" fontId="0" fillId="0" borderId="10" xfId="0" applyBorder="1" applyAlignment="1" applyProtection="1">
      <alignment vertical="center"/>
    </xf>
    <xf numFmtId="0" fontId="15" fillId="0" borderId="9" xfId="0" applyFont="1" applyBorder="1" applyAlignment="1" applyProtection="1">
      <alignment horizontal="center" vertical="center"/>
    </xf>
    <xf numFmtId="0" fontId="15" fillId="0" borderId="3" xfId="0" applyFont="1" applyBorder="1" applyAlignment="1" applyProtection="1">
      <alignment horizontal="center" vertical="center"/>
    </xf>
    <xf numFmtId="0" fontId="0" fillId="0" borderId="3" xfId="0" applyBorder="1" applyAlignment="1" applyProtection="1">
      <alignment horizontal="left" vertical="center"/>
    </xf>
    <xf numFmtId="0" fontId="0" fillId="0" borderId="10" xfId="0" applyBorder="1" applyAlignment="1" applyProtection="1">
      <alignment horizontal="left" vertical="center"/>
    </xf>
    <xf numFmtId="2" fontId="11" fillId="0" borderId="3" xfId="0" applyNumberFormat="1" applyFont="1" applyBorder="1" applyAlignment="1" applyProtection="1">
      <alignment vertical="center"/>
    </xf>
    <xf numFmtId="2" fontId="0" fillId="0" borderId="3" xfId="0" applyNumberFormat="1" applyBorder="1" applyAlignment="1" applyProtection="1">
      <alignment vertical="center"/>
    </xf>
    <xf numFmtId="2" fontId="0" fillId="0" borderId="10" xfId="0" applyNumberFormat="1" applyBorder="1" applyAlignment="1" applyProtection="1">
      <alignment vertical="center"/>
    </xf>
    <xf numFmtId="49" fontId="7" fillId="5" borderId="13" xfId="0" applyNumberFormat="1" applyFont="1" applyFill="1" applyBorder="1" applyAlignment="1" applyProtection="1">
      <alignment horizontal="center" vertical="center"/>
    </xf>
    <xf numFmtId="0" fontId="0" fillId="5" borderId="14" xfId="0" applyFont="1" applyFill="1" applyBorder="1" applyAlignment="1" applyProtection="1">
      <alignment horizontal="center" vertical="center"/>
    </xf>
    <xf numFmtId="0" fontId="0" fillId="5" borderId="15" xfId="0" applyFont="1" applyFill="1" applyBorder="1" applyAlignment="1" applyProtection="1">
      <alignment horizontal="center" vertical="center"/>
    </xf>
    <xf numFmtId="49" fontId="1" fillId="0" borderId="13" xfId="0" applyNumberFormat="1" applyFont="1" applyFill="1" applyBorder="1" applyAlignment="1" applyProtection="1">
      <alignment horizontal="left" vertical="center"/>
    </xf>
    <xf numFmtId="0" fontId="0" fillId="0" borderId="14" xfId="0" applyNumberFormat="1" applyBorder="1" applyAlignment="1" applyProtection="1">
      <alignment horizontal="left" vertical="center"/>
    </xf>
    <xf numFmtId="0" fontId="0" fillId="0" borderId="15" xfId="0" applyNumberFormat="1" applyBorder="1" applyAlignment="1" applyProtection="1">
      <alignment horizontal="left" vertical="center"/>
    </xf>
    <xf numFmtId="0" fontId="1" fillId="0" borderId="13" xfId="0" applyNumberFormat="1" applyFont="1" applyFill="1" applyBorder="1" applyAlignment="1" applyProtection="1">
      <alignment horizontal="left" vertical="center"/>
    </xf>
    <xf numFmtId="164" fontId="1" fillId="0" borderId="1" xfId="0" applyNumberFormat="1" applyFont="1" applyFill="1" applyBorder="1" applyAlignment="1" applyProtection="1">
      <alignment horizontal="left" vertical="center"/>
    </xf>
    <xf numFmtId="164" fontId="0" fillId="0" borderId="1" xfId="0" applyNumberFormat="1" applyFont="1" applyFill="1" applyBorder="1" applyAlignment="1" applyProtection="1">
      <alignment horizontal="left" vertical="center"/>
    </xf>
    <xf numFmtId="0" fontId="1" fillId="0" borderId="1" xfId="0" applyNumberFormat="1" applyFont="1" applyFill="1" applyBorder="1" applyAlignment="1" applyProtection="1">
      <alignment horizontal="left" vertical="center"/>
    </xf>
    <xf numFmtId="0" fontId="0" fillId="0" borderId="1" xfId="0" applyNumberFormat="1" applyFont="1" applyFill="1" applyBorder="1" applyAlignment="1" applyProtection="1">
      <alignment horizontal="left" vertical="center"/>
    </xf>
    <xf numFmtId="2" fontId="11" fillId="0" borderId="11" xfId="0" applyNumberFormat="1" applyFont="1" applyBorder="1" applyAlignment="1" applyProtection="1">
      <alignment horizontal="left" vertical="center" wrapText="1"/>
    </xf>
    <xf numFmtId="2" fontId="11" fillId="0" borderId="0" xfId="0" applyNumberFormat="1" applyFont="1" applyBorder="1" applyAlignment="1" applyProtection="1">
      <alignment horizontal="left" vertical="center" wrapText="1"/>
    </xf>
    <xf numFmtId="2" fontId="11" fillId="0" borderId="12" xfId="0" applyNumberFormat="1" applyFont="1" applyBorder="1" applyAlignment="1" applyProtection="1">
      <alignment horizontal="left" vertical="center" wrapText="1"/>
    </xf>
    <xf numFmtId="2" fontId="11" fillId="0" borderId="7" xfId="0" applyNumberFormat="1" applyFont="1" applyBorder="1" applyAlignment="1" applyProtection="1">
      <alignment horizontal="left" vertical="center" wrapText="1"/>
    </xf>
    <xf numFmtId="2" fontId="11" fillId="0" borderId="2" xfId="0" applyNumberFormat="1" applyFont="1" applyBorder="1" applyAlignment="1" applyProtection="1">
      <alignment horizontal="left" vertical="center" wrapText="1"/>
    </xf>
    <xf numFmtId="2" fontId="11" fillId="0" borderId="8" xfId="0" applyNumberFormat="1" applyFont="1" applyBorder="1" applyAlignment="1" applyProtection="1">
      <alignment horizontal="left" vertical="center" wrapText="1"/>
    </xf>
    <xf numFmtId="0" fontId="15" fillId="0" borderId="9" xfId="0"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2" fontId="15" fillId="5" borderId="16" xfId="0" applyNumberFormat="1" applyFont="1" applyFill="1" applyBorder="1" applyAlignment="1" applyProtection="1">
      <alignment horizontal="center" vertical="center" wrapText="1"/>
    </xf>
    <xf numFmtId="0" fontId="11" fillId="5" borderId="16" xfId="0" applyFont="1" applyFill="1" applyBorder="1" applyAlignment="1" applyProtection="1">
      <alignment vertical="center" wrapText="1"/>
    </xf>
    <xf numFmtId="2" fontId="11" fillId="0" borderId="16" xfId="0" applyNumberFormat="1" applyFont="1" applyBorder="1" applyAlignment="1" applyProtection="1">
      <alignment horizontal="left" vertical="center" wrapText="1"/>
    </xf>
    <xf numFmtId="0" fontId="11" fillId="0" borderId="16" xfId="0" applyFont="1" applyBorder="1" applyAlignment="1" applyProtection="1">
      <alignment vertical="center" wrapText="1"/>
    </xf>
    <xf numFmtId="0" fontId="15" fillId="5" borderId="16" xfId="0" applyFont="1" applyFill="1" applyBorder="1" applyAlignment="1" applyProtection="1">
      <alignment horizontal="center" vertical="center" wrapText="1"/>
    </xf>
    <xf numFmtId="0" fontId="11" fillId="0" borderId="3" xfId="0" applyFont="1" applyBorder="1" applyAlignment="1" applyProtection="1">
      <alignment horizontal="left" vertical="center"/>
    </xf>
    <xf numFmtId="0" fontId="11" fillId="0" borderId="10" xfId="0" applyFont="1" applyBorder="1" applyAlignment="1" applyProtection="1">
      <alignment horizontal="left" vertical="center"/>
    </xf>
  </cellXfs>
  <cellStyles count="3">
    <cellStyle name="Hyperlink" xfId="2" builtinId="8"/>
    <cellStyle name="Normal" xfId="0" builtinId="0"/>
    <cellStyle name="Normal 2" xfId="1" xr:uid="{00000000-0005-0000-0000-000002000000}"/>
  </cellStyles>
  <dxfs count="6">
    <dxf>
      <font>
        <b/>
        <i/>
        <color theme="0"/>
      </font>
      <fill>
        <patternFill>
          <bgColor rgb="FFFF0000"/>
        </patternFill>
      </fill>
    </dxf>
    <dxf>
      <font>
        <b/>
        <i/>
        <color theme="0"/>
      </font>
      <fill>
        <patternFill>
          <bgColor rgb="FFFF0000"/>
        </patternFill>
      </fill>
    </dxf>
    <dxf>
      <font>
        <b val="0"/>
        <i/>
        <color theme="0"/>
      </font>
      <fill>
        <patternFill>
          <bgColor theme="0" tint="-0.14996795556505021"/>
        </patternFill>
      </fill>
    </dxf>
    <dxf>
      <font>
        <b/>
        <i/>
        <color theme="0"/>
      </font>
      <fill>
        <patternFill>
          <bgColor rgb="FFFF0000"/>
        </patternFill>
      </fill>
    </dxf>
    <dxf>
      <font>
        <b/>
        <i/>
        <color theme="0"/>
      </font>
      <fill>
        <patternFill>
          <bgColor rgb="FFFF0000"/>
        </patternFill>
      </fill>
    </dxf>
    <dxf>
      <font>
        <b val="0"/>
        <i/>
        <color theme="0"/>
      </font>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Peak Particle</a:t>
            </a:r>
            <a:r>
              <a:rPr lang="en-US" b="1" baseline="0"/>
              <a:t> Velocity (PPV) vs. Square Root Scaled Distance (SD</a:t>
            </a:r>
            <a:r>
              <a:rPr lang="en-US" b="1" baseline="-25000"/>
              <a:t>2</a:t>
            </a:r>
            <a:r>
              <a:rPr lang="en-US" b="1" baseline="0"/>
              <a:t>)</a:t>
            </a:r>
            <a:endParaRPr lang="en-US" b="1"/>
          </a:p>
        </c:rich>
      </c:tx>
      <c:layout>
        <c:manualLayout>
          <c:xMode val="edge"/>
          <c:yMode val="edge"/>
          <c:x val="0.16685736531863898"/>
          <c:y val="3.4582132564841501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458707708981741"/>
          <c:y val="0.11226591632818232"/>
          <c:w val="0.76084451516332141"/>
          <c:h val="0.76972569902750598"/>
        </c:manualLayout>
      </c:layout>
      <c:scatterChart>
        <c:scatterStyle val="lineMarker"/>
        <c:varyColors val="0"/>
        <c:ser>
          <c:idx val="0"/>
          <c:order val="0"/>
          <c:tx>
            <c:v>Blast Event Data</c:v>
          </c:tx>
          <c:spPr>
            <a:ln w="25400" cap="rnd">
              <a:noFill/>
              <a:round/>
            </a:ln>
            <a:effectLst/>
          </c:spPr>
          <c:marker>
            <c:symbol val="diamond"/>
            <c:size val="6"/>
            <c:spPr>
              <a:solidFill>
                <a:srgbClr val="0070C0"/>
              </a:solidFill>
              <a:ln w="9525">
                <a:solidFill>
                  <a:schemeClr val="tx1"/>
                </a:solidFill>
              </a:ln>
              <a:effectLst/>
            </c:spPr>
          </c:marker>
          <c:trendline>
            <c:name>Best Fit Line</c:name>
            <c:spPr>
              <a:ln w="25400" cap="rnd">
                <a:solidFill>
                  <a:schemeClr val="tx1"/>
                </a:solidFill>
                <a:prstDash val="solid"/>
              </a:ln>
              <a:effectLst/>
            </c:spPr>
            <c:trendlineType val="power"/>
            <c:dispRSqr val="1"/>
            <c:dispEq val="0"/>
            <c:trendlineLbl>
              <c:layout>
                <c:manualLayout>
                  <c:x val="0.16760609158281484"/>
                  <c:y val="-0.57066131142829046"/>
                </c:manualLayout>
              </c:layout>
              <c:numFmt formatCode="General" sourceLinked="0"/>
              <c:spPr>
                <a:solidFill>
                  <a:schemeClr val="bg1"/>
                </a:solidFill>
                <a:ln>
                  <a:solidFill>
                    <a:schemeClr val="bg1">
                      <a:lumMod val="75000"/>
                    </a:schemeClr>
                  </a:solidFill>
                </a:ln>
                <a:effectLst>
                  <a:outerShdw blurRad="50800" dist="38100" dir="8100000" algn="tr" rotWithShape="0">
                    <a:prstClr val="black">
                      <a:alpha val="40000"/>
                    </a:prstClr>
                  </a:outerShdw>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rendlineLbl>
          </c:trendline>
          <c:xVal>
            <c:numRef>
              <c:f>[0]!SD2_0.5</c:f>
              <c:numCache>
                <c:formatCode>0.00</c:formatCode>
                <c:ptCount val="184"/>
                <c:pt idx="0">
                  <c:v>2.4210875062207955</c:v>
                </c:pt>
                <c:pt idx="1">
                  <c:v>17.383408294665312</c:v>
                </c:pt>
                <c:pt idx="2">
                  <c:v>32.926790084602814</c:v>
                </c:pt>
                <c:pt idx="3">
                  <c:v>48.179641373793828</c:v>
                </c:pt>
                <c:pt idx="4">
                  <c:v>58.78400465104091</c:v>
                </c:pt>
                <c:pt idx="5">
                  <c:v>140.61676236130378</c:v>
                </c:pt>
                <c:pt idx="6">
                  <c:v>158.53280990733768</c:v>
                </c:pt>
                <c:pt idx="7">
                  <c:v>2.6352313834736494</c:v>
                </c:pt>
                <c:pt idx="8">
                  <c:v>17.076299364909246</c:v>
                </c:pt>
                <c:pt idx="9">
                  <c:v>37.472990272995297</c:v>
                </c:pt>
                <c:pt idx="10">
                  <c:v>58.396727457776073</c:v>
                </c:pt>
                <c:pt idx="11">
                  <c:v>68.252492831967515</c:v>
                </c:pt>
                <c:pt idx="12">
                  <c:v>89.070820761409351</c:v>
                </c:pt>
                <c:pt idx="13">
                  <c:v>116.89886417089109</c:v>
                </c:pt>
                <c:pt idx="14">
                  <c:v>30.674093303633278</c:v>
                </c:pt>
                <c:pt idx="15">
                  <c:v>50.596442562694065</c:v>
                </c:pt>
                <c:pt idx="16">
                  <c:v>63.983417990740207</c:v>
                </c:pt>
                <c:pt idx="17">
                  <c:v>75.156799056668476</c:v>
                </c:pt>
                <c:pt idx="18">
                  <c:v>180.88228216163131</c:v>
                </c:pt>
                <c:pt idx="19">
                  <c:v>20.827686648313392</c:v>
                </c:pt>
                <c:pt idx="20">
                  <c:v>41.655373296626784</c:v>
                </c:pt>
                <c:pt idx="21">
                  <c:v>66.638078240942093</c:v>
                </c:pt>
                <c:pt idx="22">
                  <c:v>83.889293444595609</c:v>
                </c:pt>
                <c:pt idx="23">
                  <c:v>99.93081977726122</c:v>
                </c:pt>
                <c:pt idx="24">
                  <c:v>33.345336704622959</c:v>
                </c:pt>
                <c:pt idx="25">
                  <c:v>44.39032204842551</c:v>
                </c:pt>
                <c:pt idx="26">
                  <c:v>27.770248864417855</c:v>
                </c:pt>
                <c:pt idx="27">
                  <c:v>41.339802286803852</c:v>
                </c:pt>
                <c:pt idx="28">
                  <c:v>72.160570912843369</c:v>
                </c:pt>
                <c:pt idx="29">
                  <c:v>99.93081977726122</c:v>
                </c:pt>
                <c:pt idx="30">
                  <c:v>97.195871025462495</c:v>
                </c:pt>
                <c:pt idx="31">
                  <c:v>13.885124432208928</c:v>
                </c:pt>
                <c:pt idx="32">
                  <c:v>27.770248864417855</c:v>
                </c:pt>
                <c:pt idx="33">
                  <c:v>46.178557770755454</c:v>
                </c:pt>
                <c:pt idx="34">
                  <c:v>74.001401803477137</c:v>
                </c:pt>
                <c:pt idx="35">
                  <c:v>164.35990094944282</c:v>
                </c:pt>
                <c:pt idx="36">
                  <c:v>4.6444847237199713</c:v>
                </c:pt>
                <c:pt idx="37">
                  <c:v>15.481615745733238</c:v>
                </c:pt>
                <c:pt idx="38">
                  <c:v>36.123770073377557</c:v>
                </c:pt>
                <c:pt idx="39">
                  <c:v>63.474624557506274</c:v>
                </c:pt>
                <c:pt idx="40">
                  <c:v>113.53184880204374</c:v>
                </c:pt>
                <c:pt idx="41">
                  <c:v>134.17400312968806</c:v>
                </c:pt>
                <c:pt idx="42">
                  <c:v>4.971059099571093</c:v>
                </c:pt>
                <c:pt idx="43">
                  <c:v>15.714961024450552</c:v>
                </c:pt>
                <c:pt idx="44">
                  <c:v>26.939933184772375</c:v>
                </c:pt>
                <c:pt idx="45">
                  <c:v>48.320832537766329</c:v>
                </c:pt>
                <c:pt idx="46">
                  <c:v>76.650524180483316</c:v>
                </c:pt>
                <c:pt idx="47">
                  <c:v>128.49920511149364</c:v>
                </c:pt>
                <c:pt idx="48">
                  <c:v>149.88010446448757</c:v>
                </c:pt>
                <c:pt idx="49">
                  <c:v>13.818391556381643</c:v>
                </c:pt>
                <c:pt idx="50">
                  <c:v>37.163098503905175</c:v>
                </c:pt>
                <c:pt idx="51">
                  <c:v>55.273566225526572</c:v>
                </c:pt>
                <c:pt idx="52">
                  <c:v>88.458642917746118</c:v>
                </c:pt>
                <c:pt idx="53">
                  <c:v>168.54250307404882</c:v>
                </c:pt>
                <c:pt idx="54">
                  <c:v>37.163098503905175</c:v>
                </c:pt>
                <c:pt idx="55">
                  <c:v>43.130131221433615</c:v>
                </c:pt>
                <c:pt idx="56">
                  <c:v>63.54366420245195</c:v>
                </c:pt>
                <c:pt idx="57">
                  <c:v>75.163675283954689</c:v>
                </c:pt>
                <c:pt idx="58">
                  <c:v>168.54250307404882</c:v>
                </c:pt>
                <c:pt idx="59">
                  <c:v>4.9147318718299049</c:v>
                </c:pt>
                <c:pt idx="60">
                  <c:v>27.669940438402364</c:v>
                </c:pt>
                <c:pt idx="61">
                  <c:v>30.471337605345408</c:v>
                </c:pt>
                <c:pt idx="62">
                  <c:v>42.11925214158228</c:v>
                </c:pt>
                <c:pt idx="63">
                  <c:v>68.16733106228078</c:v>
                </c:pt>
                <c:pt idx="64">
                  <c:v>105.66673524434295</c:v>
                </c:pt>
                <c:pt idx="65">
                  <c:v>110.58146711617286</c:v>
                </c:pt>
                <c:pt idx="66">
                  <c:v>135.15512647532239</c:v>
                </c:pt>
                <c:pt idx="67">
                  <c:v>10.830488197950933</c:v>
                </c:pt>
                <c:pt idx="68">
                  <c:v>5.9182995617218213</c:v>
                </c:pt>
                <c:pt idx="69">
                  <c:v>22.667087321394575</c:v>
                </c:pt>
                <c:pt idx="70">
                  <c:v>31.366987677125653</c:v>
                </c:pt>
                <c:pt idx="71">
                  <c:v>77.707273245407507</c:v>
                </c:pt>
                <c:pt idx="72">
                  <c:v>129.19647943238735</c:v>
                </c:pt>
                <c:pt idx="73">
                  <c:v>170.62457636444012</c:v>
                </c:pt>
                <c:pt idx="74">
                  <c:v>164.70627680271829</c:v>
                </c:pt>
                <c:pt idx="75">
                  <c:v>5.6980288229818967</c:v>
                </c:pt>
                <c:pt idx="76">
                  <c:v>21.538548950871572</c:v>
                </c:pt>
                <c:pt idx="77">
                  <c:v>35.156837837798307</c:v>
                </c:pt>
                <c:pt idx="78">
                  <c:v>74.929079022211951</c:v>
                </c:pt>
                <c:pt idx="79">
                  <c:v>108.60442936603496</c:v>
                </c:pt>
                <c:pt idx="80">
                  <c:v>139.9435878924354</c:v>
                </c:pt>
                <c:pt idx="81">
                  <c:v>174.13176083032678</c:v>
                </c:pt>
                <c:pt idx="82">
                  <c:v>5.3760333057047029</c:v>
                </c:pt>
                <c:pt idx="83">
                  <c:v>20.321405895563778</c:v>
                </c:pt>
                <c:pt idx="84">
                  <c:v>33.170125496198018</c:v>
                </c:pt>
                <c:pt idx="85">
                  <c:v>70.694837970016849</c:v>
                </c:pt>
                <c:pt idx="86">
                  <c:v>102.46719480673164</c:v>
                </c:pt>
                <c:pt idx="87">
                  <c:v>132.51922098562093</c:v>
                </c:pt>
                <c:pt idx="88">
                  <c:v>164.77542081984916</c:v>
                </c:pt>
                <c:pt idx="89">
                  <c:v>171.22666078669479</c:v>
                </c:pt>
                <c:pt idx="90">
                  <c:v>5.3721530935025354</c:v>
                </c:pt>
                <c:pt idx="91">
                  <c:v>17.029725306403037</c:v>
                </c:pt>
                <c:pt idx="92">
                  <c:v>29.869171199874096</c:v>
                </c:pt>
                <c:pt idx="93">
                  <c:v>67.366799792521789</c:v>
                </c:pt>
                <c:pt idx="94">
                  <c:v>99.116224575121777</c:v>
                </c:pt>
                <c:pt idx="95">
                  <c:v>128.66306658938572</c:v>
                </c:pt>
                <c:pt idx="96">
                  <c:v>161.37947892881616</c:v>
                </c:pt>
                <c:pt idx="97">
                  <c:v>206.77417256891258</c:v>
                </c:pt>
                <c:pt idx="98">
                  <c:v>2.5253813613805267</c:v>
                </c:pt>
                <c:pt idx="99">
                  <c:v>16.01091783115254</c:v>
                </c:pt>
                <c:pt idx="100">
                  <c:v>34.648232278140831</c:v>
                </c:pt>
                <c:pt idx="101">
                  <c:v>61.316259454319194</c:v>
                </c:pt>
                <c:pt idx="102">
                  <c:v>90.661190873560912</c:v>
                </c:pt>
                <c:pt idx="103">
                  <c:v>93.338095116624274</c:v>
                </c:pt>
                <c:pt idx="104">
                  <c:v>114.65231380667592</c:v>
                </c:pt>
                <c:pt idx="105">
                  <c:v>63.993163697382549</c:v>
                </c:pt>
                <c:pt idx="106">
                  <c:v>66.670067940445904</c:v>
                </c:pt>
                <c:pt idx="107">
                  <c:v>77.781745930520231</c:v>
                </c:pt>
                <c:pt idx="108">
                  <c:v>82.680985771598444</c:v>
                </c:pt>
                <c:pt idx="109">
                  <c:v>93.338095116624274</c:v>
                </c:pt>
                <c:pt idx="110">
                  <c:v>5.2717940841327513</c:v>
                </c:pt>
                <c:pt idx="111">
                  <c:v>14.799715502244238</c:v>
                </c:pt>
                <c:pt idx="112">
                  <c:v>30.131446921235817</c:v>
                </c:pt>
                <c:pt idx="113">
                  <c:v>52.331020174602173</c:v>
                </c:pt>
                <c:pt idx="114">
                  <c:v>64.809211676494371</c:v>
                </c:pt>
                <c:pt idx="115">
                  <c:v>179.72464969392024</c:v>
                </c:pt>
                <c:pt idx="116">
                  <c:v>5.2533756487600112</c:v>
                </c:pt>
                <c:pt idx="117">
                  <c:v>10.681863819145356</c:v>
                </c:pt>
                <c:pt idx="118">
                  <c:v>24.632494708630272</c:v>
                </c:pt>
                <c:pt idx="119">
                  <c:v>49.148247736176991</c:v>
                </c:pt>
                <c:pt idx="120">
                  <c:v>67.826916709545912</c:v>
                </c:pt>
                <c:pt idx="121">
                  <c:v>188.0124773850666</c:v>
                </c:pt>
                <c:pt idx="122">
                  <c:v>5.4717565516458277</c:v>
                </c:pt>
                <c:pt idx="123">
                  <c:v>14.336002165312069</c:v>
                </c:pt>
                <c:pt idx="124">
                  <c:v>28.015393544426637</c:v>
                </c:pt>
                <c:pt idx="125">
                  <c:v>51.16092375788849</c:v>
                </c:pt>
                <c:pt idx="126">
                  <c:v>74.798912060998461</c:v>
                </c:pt>
                <c:pt idx="127">
                  <c:v>92.910426246946145</c:v>
                </c:pt>
                <c:pt idx="128">
                  <c:v>112.71818496390405</c:v>
                </c:pt>
                <c:pt idx="129">
                  <c:v>164.37156681144066</c:v>
                </c:pt>
                <c:pt idx="130">
                  <c:v>202.78329780399437</c:v>
                </c:pt>
                <c:pt idx="131">
                  <c:v>2.40841525429544</c:v>
                </c:pt>
                <c:pt idx="132">
                  <c:v>25.432865085359847</c:v>
                </c:pt>
                <c:pt idx="133">
                  <c:v>40.654049492507028</c:v>
                </c:pt>
                <c:pt idx="134">
                  <c:v>66.135082882952787</c:v>
                </c:pt>
                <c:pt idx="135">
                  <c:v>94.120868137865799</c:v>
                </c:pt>
                <c:pt idx="136">
                  <c:v>96.625620002333065</c:v>
                </c:pt>
                <c:pt idx="137">
                  <c:v>116.95264474858658</c:v>
                </c:pt>
                <c:pt idx="138">
                  <c:v>61.029242543846451</c:v>
                </c:pt>
                <c:pt idx="139">
                  <c:v>66.086914577866878</c:v>
                </c:pt>
                <c:pt idx="140">
                  <c:v>76.298595256079551</c:v>
                </c:pt>
                <c:pt idx="141">
                  <c:v>81.404435595185873</c:v>
                </c:pt>
                <c:pt idx="142">
                  <c:v>94.120868137865799</c:v>
                </c:pt>
                <c:pt idx="143">
                  <c:v>50.865730170719694</c:v>
                </c:pt>
                <c:pt idx="144">
                  <c:v>53.418650340272862</c:v>
                </c:pt>
                <c:pt idx="145">
                  <c:v>63.582162713399619</c:v>
                </c:pt>
                <c:pt idx="146">
                  <c:v>76.298595256079551</c:v>
                </c:pt>
                <c:pt idx="147">
                  <c:v>84.198197290168594</c:v>
                </c:pt>
                <c:pt idx="148">
                  <c:v>2.4455799402225926</c:v>
                </c:pt>
                <c:pt idx="149">
                  <c:v>31.450158031262539</c:v>
                </c:pt>
                <c:pt idx="150">
                  <c:v>46.466018864229255</c:v>
                </c:pt>
                <c:pt idx="151">
                  <c:v>69.209912308299366</c:v>
                </c:pt>
                <c:pt idx="152">
                  <c:v>100.61115874075746</c:v>
                </c:pt>
                <c:pt idx="153">
                  <c:v>95.524352465094466</c:v>
                </c:pt>
                <c:pt idx="154">
                  <c:v>118.75736189720909</c:v>
                </c:pt>
                <c:pt idx="155">
                  <c:v>11.476886986950888</c:v>
                </c:pt>
                <c:pt idx="156">
                  <c:v>3.263569759322527</c:v>
                </c:pt>
                <c:pt idx="157">
                  <c:v>22.953773973901775</c:v>
                </c:pt>
                <c:pt idx="158">
                  <c:v>43.079120823057359</c:v>
                </c:pt>
                <c:pt idx="159">
                  <c:v>68.915714751027366</c:v>
                </c:pt>
                <c:pt idx="160">
                  <c:v>83.275421692046478</c:v>
                </c:pt>
                <c:pt idx="161">
                  <c:v>114.87765552815296</c:v>
                </c:pt>
                <c:pt idx="162">
                  <c:v>157.95677635121032</c:v>
                </c:pt>
                <c:pt idx="163">
                  <c:v>198.15307722019944</c:v>
                </c:pt>
                <c:pt idx="164">
                  <c:v>7.0908363200701636</c:v>
                </c:pt>
                <c:pt idx="165">
                  <c:v>16.560244317125889</c:v>
                </c:pt>
                <c:pt idx="166">
                  <c:v>33.165367345138293</c:v>
                </c:pt>
                <c:pt idx="167">
                  <c:v>54.527633727121824</c:v>
                </c:pt>
                <c:pt idx="168">
                  <c:v>66.375613401163108</c:v>
                </c:pt>
                <c:pt idx="169">
                  <c:v>92.405265715344726</c:v>
                </c:pt>
                <c:pt idx="170">
                  <c:v>130.32777641445415</c:v>
                </c:pt>
                <c:pt idx="171">
                  <c:v>4.5572395134977546</c:v>
                </c:pt>
                <c:pt idx="172">
                  <c:v>33.22227605339863</c:v>
                </c:pt>
                <c:pt idx="173">
                  <c:v>44.660947232277998</c:v>
                </c:pt>
                <c:pt idx="174">
                  <c:v>55.324887693862742</c:v>
                </c:pt>
                <c:pt idx="175">
                  <c:v>67.35600000949681</c:v>
                </c:pt>
                <c:pt idx="176">
                  <c:v>139.54267390330125</c:v>
                </c:pt>
                <c:pt idx="177">
                  <c:v>151.84722058974521</c:v>
                </c:pt>
                <c:pt idx="178">
                  <c:v>13.159373383873252</c:v>
                </c:pt>
                <c:pt idx="179">
                  <c:v>27.2476437124905</c:v>
                </c:pt>
                <c:pt idx="180">
                  <c:v>46.393241851380601</c:v>
                </c:pt>
                <c:pt idx="181">
                  <c:v>59.965458321806743</c:v>
                </c:pt>
                <c:pt idx="182">
                  <c:v>144.03063182113823</c:v>
                </c:pt>
                <c:pt idx="183">
                  <c:v>168.95603317176872</c:v>
                </c:pt>
              </c:numCache>
            </c:numRef>
          </c:xVal>
          <c:yVal>
            <c:numRef>
              <c:f>[0]!PPV</c:f>
              <c:numCache>
                <c:formatCode>0.00</c:formatCode>
                <c:ptCount val="184"/>
                <c:pt idx="0">
                  <c:v>5.08</c:v>
                </c:pt>
                <c:pt idx="1">
                  <c:v>4.4800000000000004</c:v>
                </c:pt>
                <c:pt idx="2">
                  <c:v>1.8</c:v>
                </c:pt>
                <c:pt idx="3">
                  <c:v>0.69</c:v>
                </c:pt>
                <c:pt idx="4">
                  <c:v>0.38</c:v>
                </c:pt>
                <c:pt idx="5">
                  <c:v>0.05</c:v>
                </c:pt>
                <c:pt idx="6">
                  <c:v>0.03</c:v>
                </c:pt>
                <c:pt idx="7">
                  <c:v>6.96</c:v>
                </c:pt>
                <c:pt idx="8">
                  <c:v>1.6</c:v>
                </c:pt>
                <c:pt idx="9">
                  <c:v>0.43</c:v>
                </c:pt>
                <c:pt idx="10">
                  <c:v>0.27</c:v>
                </c:pt>
                <c:pt idx="11">
                  <c:v>0.24</c:v>
                </c:pt>
                <c:pt idx="12">
                  <c:v>0.2</c:v>
                </c:pt>
                <c:pt idx="13">
                  <c:v>0.09</c:v>
                </c:pt>
                <c:pt idx="14">
                  <c:v>0.95</c:v>
                </c:pt>
                <c:pt idx="15">
                  <c:v>0.45</c:v>
                </c:pt>
                <c:pt idx="16">
                  <c:v>0.26</c:v>
                </c:pt>
                <c:pt idx="17">
                  <c:v>0.28000000000000003</c:v>
                </c:pt>
                <c:pt idx="18">
                  <c:v>0.06</c:v>
                </c:pt>
                <c:pt idx="19">
                  <c:v>0.94</c:v>
                </c:pt>
                <c:pt idx="20">
                  <c:v>0.33</c:v>
                </c:pt>
                <c:pt idx="21">
                  <c:v>0.49</c:v>
                </c:pt>
                <c:pt idx="22">
                  <c:v>0.18</c:v>
                </c:pt>
                <c:pt idx="23">
                  <c:v>0.15</c:v>
                </c:pt>
                <c:pt idx="24">
                  <c:v>1.02</c:v>
                </c:pt>
                <c:pt idx="25">
                  <c:v>0.51</c:v>
                </c:pt>
                <c:pt idx="26">
                  <c:v>0.76</c:v>
                </c:pt>
                <c:pt idx="27">
                  <c:v>0.36</c:v>
                </c:pt>
                <c:pt idx="28">
                  <c:v>0.49</c:v>
                </c:pt>
                <c:pt idx="29">
                  <c:v>0.22</c:v>
                </c:pt>
                <c:pt idx="30">
                  <c:v>0.25</c:v>
                </c:pt>
                <c:pt idx="31">
                  <c:v>4</c:v>
                </c:pt>
                <c:pt idx="32">
                  <c:v>0.56000000000000005</c:v>
                </c:pt>
                <c:pt idx="33">
                  <c:v>0.46</c:v>
                </c:pt>
                <c:pt idx="34">
                  <c:v>0.22</c:v>
                </c:pt>
                <c:pt idx="35">
                  <c:v>0.1</c:v>
                </c:pt>
                <c:pt idx="36">
                  <c:v>2.08</c:v>
                </c:pt>
                <c:pt idx="37">
                  <c:v>1.64</c:v>
                </c:pt>
                <c:pt idx="38">
                  <c:v>0.41</c:v>
                </c:pt>
                <c:pt idx="39">
                  <c:v>0.16</c:v>
                </c:pt>
                <c:pt idx="40">
                  <c:v>0.06</c:v>
                </c:pt>
                <c:pt idx="41">
                  <c:v>0.05</c:v>
                </c:pt>
                <c:pt idx="42">
                  <c:v>1.96</c:v>
                </c:pt>
                <c:pt idx="43">
                  <c:v>1.28</c:v>
                </c:pt>
                <c:pt idx="44">
                  <c:v>0.5</c:v>
                </c:pt>
                <c:pt idx="45">
                  <c:v>0.32</c:v>
                </c:pt>
                <c:pt idx="46">
                  <c:v>0.16</c:v>
                </c:pt>
                <c:pt idx="47">
                  <c:v>0.09</c:v>
                </c:pt>
                <c:pt idx="48">
                  <c:v>0.04</c:v>
                </c:pt>
                <c:pt idx="49">
                  <c:v>1.05</c:v>
                </c:pt>
                <c:pt idx="50">
                  <c:v>0.41</c:v>
                </c:pt>
                <c:pt idx="51">
                  <c:v>0.28000000000000003</c:v>
                </c:pt>
                <c:pt idx="52">
                  <c:v>0.16</c:v>
                </c:pt>
                <c:pt idx="53">
                  <c:v>0.05</c:v>
                </c:pt>
                <c:pt idx="54">
                  <c:v>0.74</c:v>
                </c:pt>
                <c:pt idx="55">
                  <c:v>0.22</c:v>
                </c:pt>
                <c:pt idx="56">
                  <c:v>0.14000000000000001</c:v>
                </c:pt>
                <c:pt idx="57">
                  <c:v>0.31</c:v>
                </c:pt>
                <c:pt idx="58">
                  <c:v>0.05</c:v>
                </c:pt>
                <c:pt idx="59">
                  <c:v>4.2</c:v>
                </c:pt>
                <c:pt idx="60">
                  <c:v>0.79</c:v>
                </c:pt>
                <c:pt idx="61">
                  <c:v>0.65</c:v>
                </c:pt>
                <c:pt idx="62">
                  <c:v>0.45</c:v>
                </c:pt>
                <c:pt idx="63">
                  <c:v>0.16</c:v>
                </c:pt>
                <c:pt idx="64">
                  <c:v>0.15</c:v>
                </c:pt>
                <c:pt idx="65">
                  <c:v>0.11</c:v>
                </c:pt>
                <c:pt idx="66">
                  <c:v>0.1</c:v>
                </c:pt>
                <c:pt idx="67">
                  <c:v>1.84</c:v>
                </c:pt>
                <c:pt idx="68">
                  <c:v>4.2</c:v>
                </c:pt>
                <c:pt idx="69">
                  <c:v>1.28</c:v>
                </c:pt>
                <c:pt idx="70">
                  <c:v>0.46</c:v>
                </c:pt>
                <c:pt idx="71">
                  <c:v>0.16</c:v>
                </c:pt>
                <c:pt idx="72">
                  <c:v>0.11</c:v>
                </c:pt>
                <c:pt idx="73">
                  <c:v>0.06</c:v>
                </c:pt>
                <c:pt idx="74">
                  <c:v>0.03</c:v>
                </c:pt>
                <c:pt idx="75">
                  <c:v>3.96</c:v>
                </c:pt>
                <c:pt idx="76">
                  <c:v>3.12</c:v>
                </c:pt>
                <c:pt idx="77">
                  <c:v>1.44</c:v>
                </c:pt>
                <c:pt idx="78">
                  <c:v>0.51</c:v>
                </c:pt>
                <c:pt idx="79">
                  <c:v>0.41</c:v>
                </c:pt>
                <c:pt idx="80">
                  <c:v>0.19</c:v>
                </c:pt>
                <c:pt idx="81">
                  <c:v>0.19</c:v>
                </c:pt>
                <c:pt idx="82">
                  <c:v>5.08</c:v>
                </c:pt>
                <c:pt idx="83">
                  <c:v>2.08</c:v>
                </c:pt>
                <c:pt idx="84">
                  <c:v>1.72</c:v>
                </c:pt>
                <c:pt idx="85">
                  <c:v>0.45</c:v>
                </c:pt>
                <c:pt idx="86">
                  <c:v>0.41</c:v>
                </c:pt>
                <c:pt idx="87">
                  <c:v>0.17</c:v>
                </c:pt>
                <c:pt idx="88">
                  <c:v>0.18</c:v>
                </c:pt>
                <c:pt idx="89">
                  <c:v>0.15</c:v>
                </c:pt>
                <c:pt idx="90">
                  <c:v>5.08</c:v>
                </c:pt>
                <c:pt idx="91">
                  <c:v>3.04</c:v>
                </c:pt>
                <c:pt idx="92">
                  <c:v>1.8</c:v>
                </c:pt>
                <c:pt idx="93">
                  <c:v>0.51</c:v>
                </c:pt>
                <c:pt idx="94">
                  <c:v>0.39</c:v>
                </c:pt>
                <c:pt idx="95">
                  <c:v>0.22</c:v>
                </c:pt>
                <c:pt idx="96">
                  <c:v>0.21</c:v>
                </c:pt>
                <c:pt idx="97">
                  <c:v>0.09</c:v>
                </c:pt>
                <c:pt idx="98">
                  <c:v>10.24</c:v>
                </c:pt>
                <c:pt idx="99">
                  <c:v>1.1299999999999999</c:v>
                </c:pt>
                <c:pt idx="100">
                  <c:v>0.48</c:v>
                </c:pt>
                <c:pt idx="101">
                  <c:v>0.44</c:v>
                </c:pt>
                <c:pt idx="102">
                  <c:v>0.18</c:v>
                </c:pt>
                <c:pt idx="103">
                  <c:v>0.31</c:v>
                </c:pt>
                <c:pt idx="104">
                  <c:v>0.11</c:v>
                </c:pt>
                <c:pt idx="105">
                  <c:v>0.13</c:v>
                </c:pt>
                <c:pt idx="106">
                  <c:v>0.32</c:v>
                </c:pt>
                <c:pt idx="107">
                  <c:v>0.12</c:v>
                </c:pt>
                <c:pt idx="108">
                  <c:v>0.27</c:v>
                </c:pt>
                <c:pt idx="109">
                  <c:v>0.08</c:v>
                </c:pt>
                <c:pt idx="110">
                  <c:v>3.2</c:v>
                </c:pt>
                <c:pt idx="111">
                  <c:v>1.96</c:v>
                </c:pt>
                <c:pt idx="112">
                  <c:v>1.07</c:v>
                </c:pt>
                <c:pt idx="113">
                  <c:v>0.41</c:v>
                </c:pt>
                <c:pt idx="114">
                  <c:v>1.1200000000000001</c:v>
                </c:pt>
                <c:pt idx="115">
                  <c:v>0.06</c:v>
                </c:pt>
                <c:pt idx="116">
                  <c:v>2.96</c:v>
                </c:pt>
                <c:pt idx="117">
                  <c:v>2.64</c:v>
                </c:pt>
                <c:pt idx="118">
                  <c:v>1.1599999999999999</c:v>
                </c:pt>
                <c:pt idx="119">
                  <c:v>0.51</c:v>
                </c:pt>
                <c:pt idx="120">
                  <c:v>0.6</c:v>
                </c:pt>
                <c:pt idx="121">
                  <c:v>0.03</c:v>
                </c:pt>
                <c:pt idx="122">
                  <c:v>4.88</c:v>
                </c:pt>
                <c:pt idx="123">
                  <c:v>2.36</c:v>
                </c:pt>
                <c:pt idx="124">
                  <c:v>2.04</c:v>
                </c:pt>
                <c:pt idx="125">
                  <c:v>0.67</c:v>
                </c:pt>
                <c:pt idx="126">
                  <c:v>0.42</c:v>
                </c:pt>
                <c:pt idx="127">
                  <c:v>0.35</c:v>
                </c:pt>
                <c:pt idx="128">
                  <c:v>0.17</c:v>
                </c:pt>
                <c:pt idx="129">
                  <c:v>0.12</c:v>
                </c:pt>
                <c:pt idx="130">
                  <c:v>0.05</c:v>
                </c:pt>
                <c:pt idx="131">
                  <c:v>7.92</c:v>
                </c:pt>
                <c:pt idx="132">
                  <c:v>0.88</c:v>
                </c:pt>
                <c:pt idx="133">
                  <c:v>0.67</c:v>
                </c:pt>
                <c:pt idx="134">
                  <c:v>0.37</c:v>
                </c:pt>
                <c:pt idx="135">
                  <c:v>0.36</c:v>
                </c:pt>
                <c:pt idx="136">
                  <c:v>0.4</c:v>
                </c:pt>
                <c:pt idx="137">
                  <c:v>0.11</c:v>
                </c:pt>
                <c:pt idx="138">
                  <c:v>0.13</c:v>
                </c:pt>
                <c:pt idx="139">
                  <c:v>0.66</c:v>
                </c:pt>
                <c:pt idx="140">
                  <c:v>0.23</c:v>
                </c:pt>
                <c:pt idx="141">
                  <c:v>0.43</c:v>
                </c:pt>
                <c:pt idx="142">
                  <c:v>0.25</c:v>
                </c:pt>
                <c:pt idx="143">
                  <c:v>0.23</c:v>
                </c:pt>
                <c:pt idx="144">
                  <c:v>0.75</c:v>
                </c:pt>
                <c:pt idx="145">
                  <c:v>0.23</c:v>
                </c:pt>
                <c:pt idx="146">
                  <c:v>0.21</c:v>
                </c:pt>
                <c:pt idx="147">
                  <c:v>0.15</c:v>
                </c:pt>
                <c:pt idx="148">
                  <c:v>9.1999999999999993</c:v>
                </c:pt>
                <c:pt idx="149">
                  <c:v>0.47</c:v>
                </c:pt>
                <c:pt idx="150">
                  <c:v>0.36</c:v>
                </c:pt>
                <c:pt idx="151">
                  <c:v>0.33</c:v>
                </c:pt>
                <c:pt idx="152">
                  <c:v>0.18</c:v>
                </c:pt>
                <c:pt idx="153">
                  <c:v>0.2</c:v>
                </c:pt>
                <c:pt idx="154">
                  <c:v>0.08</c:v>
                </c:pt>
                <c:pt idx="155">
                  <c:v>4.08</c:v>
                </c:pt>
                <c:pt idx="156">
                  <c:v>5.08</c:v>
                </c:pt>
                <c:pt idx="157">
                  <c:v>2.4</c:v>
                </c:pt>
                <c:pt idx="158">
                  <c:v>0.7</c:v>
                </c:pt>
                <c:pt idx="159">
                  <c:v>0.45</c:v>
                </c:pt>
                <c:pt idx="160">
                  <c:v>0.31</c:v>
                </c:pt>
                <c:pt idx="161">
                  <c:v>0.15</c:v>
                </c:pt>
                <c:pt idx="162">
                  <c:v>0.11</c:v>
                </c:pt>
                <c:pt idx="163">
                  <c:v>0.08</c:v>
                </c:pt>
                <c:pt idx="164">
                  <c:v>5.08</c:v>
                </c:pt>
                <c:pt idx="165">
                  <c:v>2.76</c:v>
                </c:pt>
                <c:pt idx="166">
                  <c:v>0.77</c:v>
                </c:pt>
                <c:pt idx="167">
                  <c:v>0.45</c:v>
                </c:pt>
                <c:pt idx="168">
                  <c:v>0.36</c:v>
                </c:pt>
                <c:pt idx="169">
                  <c:v>0.16</c:v>
                </c:pt>
                <c:pt idx="170">
                  <c:v>0.08</c:v>
                </c:pt>
                <c:pt idx="171">
                  <c:v>5.04</c:v>
                </c:pt>
                <c:pt idx="172">
                  <c:v>0.98</c:v>
                </c:pt>
                <c:pt idx="173">
                  <c:v>1.1599999999999999</c:v>
                </c:pt>
                <c:pt idx="174">
                  <c:v>0.39</c:v>
                </c:pt>
                <c:pt idx="175">
                  <c:v>0.56999999999999995</c:v>
                </c:pt>
                <c:pt idx="176">
                  <c:v>0.06</c:v>
                </c:pt>
                <c:pt idx="177">
                  <c:v>0.03</c:v>
                </c:pt>
                <c:pt idx="178">
                  <c:v>1.8</c:v>
                </c:pt>
                <c:pt idx="179">
                  <c:v>1.64</c:v>
                </c:pt>
                <c:pt idx="180">
                  <c:v>0.56000000000000005</c:v>
                </c:pt>
                <c:pt idx="181">
                  <c:v>0.6</c:v>
                </c:pt>
                <c:pt idx="182">
                  <c:v>0.05</c:v>
                </c:pt>
                <c:pt idx="183">
                  <c:v>0.03</c:v>
                </c:pt>
              </c:numCache>
            </c:numRef>
          </c:yVal>
          <c:smooth val="0"/>
          <c:extLst>
            <c:ext xmlns:c16="http://schemas.microsoft.com/office/drawing/2014/chart" uri="{C3380CC4-5D6E-409C-BE32-E72D297353CC}">
              <c16:uniqueId val="{00000001-99CD-4F6B-AE6E-38C9209F3D7B}"/>
            </c:ext>
          </c:extLst>
        </c:ser>
        <c:ser>
          <c:idx val="2"/>
          <c:order val="1"/>
          <c:tx>
            <c:v>USBM RI 8507 Mean Line</c:v>
          </c:tx>
          <c:spPr>
            <a:ln w="12700" cap="rnd">
              <a:solidFill>
                <a:srgbClr val="7030A0"/>
              </a:solidFill>
              <a:prstDash val="sysDot"/>
              <a:round/>
            </a:ln>
            <a:effectLst/>
          </c:spPr>
          <c:marker>
            <c:symbol val="none"/>
          </c:marker>
          <c:xVal>
            <c:numRef>
              <c:f>Ground_Vibration!$N$2:$N$3</c:f>
              <c:numCache>
                <c:formatCode>0</c:formatCode>
                <c:ptCount val="2"/>
                <c:pt idx="0">
                  <c:v>2</c:v>
                </c:pt>
                <c:pt idx="1">
                  <c:v>300</c:v>
                </c:pt>
              </c:numCache>
              <c:extLst xmlns:c15="http://schemas.microsoft.com/office/drawing/2012/chart"/>
            </c:numRef>
          </c:xVal>
          <c:yVal>
            <c:numRef>
              <c:f>Ground_Vibration!$N$10:$O$10</c:f>
              <c:numCache>
                <c:formatCode>#,##0.000</c:formatCode>
                <c:ptCount val="2"/>
                <c:pt idx="0">
                  <c:v>41.493624073924565</c:v>
                </c:pt>
                <c:pt idx="1">
                  <c:v>2.0432553946123082E-2</c:v>
                </c:pt>
              </c:numCache>
              <c:extLst xmlns:c15="http://schemas.microsoft.com/office/drawing/2012/chart"/>
            </c:numRef>
          </c:yVal>
          <c:smooth val="0"/>
          <c:extLst>
            <c:ext xmlns:c16="http://schemas.microsoft.com/office/drawing/2014/chart" uri="{C3380CC4-5D6E-409C-BE32-E72D297353CC}">
              <c16:uniqueId val="{00000002-99CD-4F6B-AE6E-38C9209F3D7B}"/>
            </c:ext>
          </c:extLst>
        </c:ser>
        <c:ser>
          <c:idx val="3"/>
          <c:order val="2"/>
          <c:tx>
            <c:v>USBM RI 8507 Upper Bound Line</c:v>
          </c:tx>
          <c:spPr>
            <a:ln w="12700" cap="rnd">
              <a:solidFill>
                <a:srgbClr val="002060"/>
              </a:solidFill>
              <a:prstDash val="sysDot"/>
              <a:round/>
            </a:ln>
            <a:effectLst/>
          </c:spPr>
          <c:marker>
            <c:symbol val="none"/>
          </c:marker>
          <c:xVal>
            <c:numRef>
              <c:f>Ground_Vibration!$N$2:$N$3</c:f>
              <c:numCache>
                <c:formatCode>0</c:formatCode>
                <c:ptCount val="2"/>
                <c:pt idx="0">
                  <c:v>2</c:v>
                </c:pt>
                <c:pt idx="1">
                  <c:v>300</c:v>
                </c:pt>
              </c:numCache>
              <c:extLst xmlns:c15="http://schemas.microsoft.com/office/drawing/2012/chart"/>
            </c:numRef>
          </c:xVal>
          <c:yVal>
            <c:numRef>
              <c:f>Ground_Vibration!$N$11:$O$11</c:f>
              <c:numCache>
                <c:formatCode>#,##0.000</c:formatCode>
                <c:ptCount val="2"/>
                <c:pt idx="0">
                  <c:v>152.72443146536941</c:v>
                </c:pt>
                <c:pt idx="1">
                  <c:v>7.520553469245303E-2</c:v>
                </c:pt>
              </c:numCache>
              <c:extLst xmlns:c15="http://schemas.microsoft.com/office/drawing/2012/chart"/>
            </c:numRef>
          </c:yVal>
          <c:smooth val="0"/>
          <c:extLst>
            <c:ext xmlns:c16="http://schemas.microsoft.com/office/drawing/2014/chart" uri="{C3380CC4-5D6E-409C-BE32-E72D297353CC}">
              <c16:uniqueId val="{00000003-99CD-4F6B-AE6E-38C9209F3D7B}"/>
            </c:ext>
          </c:extLst>
        </c:ser>
        <c:ser>
          <c:idx val="1"/>
          <c:order val="3"/>
          <c:tx>
            <c:v>Upper Bound Line (95% Confidence)</c:v>
          </c:tx>
          <c:spPr>
            <a:ln w="25400" cap="rnd">
              <a:solidFill>
                <a:srgbClr val="C00000"/>
              </a:solidFill>
              <a:prstDash val="dash"/>
              <a:round/>
            </a:ln>
            <a:effectLst/>
          </c:spPr>
          <c:marker>
            <c:symbol val="none"/>
          </c:marker>
          <c:xVal>
            <c:numRef>
              <c:f>Ground_Vibration!$N$2:$N$3</c:f>
              <c:numCache>
                <c:formatCode>0</c:formatCode>
                <c:ptCount val="2"/>
                <c:pt idx="0">
                  <c:v>2</c:v>
                </c:pt>
                <c:pt idx="1">
                  <c:v>300</c:v>
                </c:pt>
              </c:numCache>
            </c:numRef>
          </c:xVal>
          <c:yVal>
            <c:numRef>
              <c:f>Ground_Vibration!$N$6:$N$7</c:f>
              <c:numCache>
                <c:formatCode>#,##0.000</c:formatCode>
                <c:ptCount val="2"/>
                <c:pt idx="0">
                  <c:v>50.410824457895714</c:v>
                </c:pt>
                <c:pt idx="1">
                  <c:v>0.15146070048517571</c:v>
                </c:pt>
              </c:numCache>
            </c:numRef>
          </c:yVal>
          <c:smooth val="0"/>
          <c:extLst>
            <c:ext xmlns:c16="http://schemas.microsoft.com/office/drawing/2014/chart" uri="{C3380CC4-5D6E-409C-BE32-E72D297353CC}">
              <c16:uniqueId val="{00000004-99CD-4F6B-AE6E-38C9209F3D7B}"/>
            </c:ext>
          </c:extLst>
        </c:ser>
        <c:dLbls>
          <c:showLegendKey val="0"/>
          <c:showVal val="0"/>
          <c:showCatName val="0"/>
          <c:showSerName val="0"/>
          <c:showPercent val="0"/>
          <c:showBubbleSize val="0"/>
        </c:dLbls>
        <c:axId val="502312408"/>
        <c:axId val="502313192"/>
        <c:extLst/>
      </c:scatterChart>
      <c:valAx>
        <c:axId val="502312408"/>
        <c:scaling>
          <c:logBase val="10"/>
          <c:orientation val="minMax"/>
          <c:max val="1000"/>
        </c:scaling>
        <c:delete val="0"/>
        <c:axPos val="b"/>
        <c:majorGridlines>
          <c:spPr>
            <a:ln w="9525" cap="flat" cmpd="sng" algn="ctr">
              <a:solidFill>
                <a:schemeClr val="tx1">
                  <a:lumMod val="50000"/>
                  <a:lumOff val="50000"/>
                </a:schemeClr>
              </a:solidFill>
              <a:round/>
            </a:ln>
            <a:effectLst/>
          </c:spPr>
        </c:majorGridlines>
        <c:minorGridlines>
          <c:spPr>
            <a:ln w="9525" cap="flat" cmpd="sng" algn="ctr">
              <a:solidFill>
                <a:schemeClr val="bg1">
                  <a:lumMod val="75000"/>
                </a:schemeClr>
              </a:solidFill>
              <a:round/>
            </a:ln>
            <a:effectLst/>
          </c:spPr>
        </c:minorGridlines>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SD</a:t>
                </a:r>
                <a:r>
                  <a:rPr lang="en-US" b="1" baseline="-25000"/>
                  <a:t>2</a:t>
                </a:r>
                <a:r>
                  <a:rPr lang="en-US" b="1" baseline="0"/>
                  <a:t> (</a:t>
                </a:r>
                <a:r>
                  <a:rPr lang="en-US" b="1"/>
                  <a:t>ft/lbs</a:t>
                </a:r>
                <a:r>
                  <a:rPr lang="en-US" b="1" baseline="30000"/>
                  <a:t>1/2</a:t>
                </a:r>
                <a:r>
                  <a:rPr lang="en-US" b="1" baseline="0"/>
                  <a:t>)</a:t>
                </a:r>
              </a:p>
            </c:rich>
          </c:tx>
          <c:layout>
            <c:manualLayout>
              <c:xMode val="edge"/>
              <c:yMode val="edge"/>
              <c:x val="0.44853344275600954"/>
              <c:y val="0.93331094420113914"/>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313192"/>
        <c:crossesAt val="1.0000000000000002E-2"/>
        <c:crossBetween val="midCat"/>
      </c:valAx>
      <c:valAx>
        <c:axId val="502313192"/>
        <c:scaling>
          <c:logBase val="10"/>
          <c:orientation val="minMax"/>
          <c:max val="100"/>
        </c:scaling>
        <c:delete val="0"/>
        <c:axPos val="l"/>
        <c:majorGridlines>
          <c:spPr>
            <a:ln w="9525" cap="flat" cmpd="sng" algn="ctr">
              <a:solidFill>
                <a:schemeClr val="tx1">
                  <a:lumMod val="50000"/>
                  <a:lumOff val="50000"/>
                </a:schemeClr>
              </a:solidFill>
              <a:round/>
            </a:ln>
            <a:effectLst/>
          </c:spPr>
        </c:majorGridlines>
        <c:minorGridlines>
          <c:spPr>
            <a:ln w="9525" cap="flat" cmpd="sng" algn="ctr">
              <a:solidFill>
                <a:schemeClr val="bg1">
                  <a:lumMod val="75000"/>
                </a:schemeClr>
              </a:solidFill>
              <a:round/>
            </a:ln>
            <a:effectLst/>
          </c:spPr>
        </c:min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PPV</a:t>
                </a:r>
                <a:r>
                  <a:rPr lang="en-US" b="1" baseline="0"/>
                  <a:t> (</a:t>
                </a:r>
                <a:r>
                  <a:rPr lang="en-US" b="1"/>
                  <a:t>in/sec)</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312408"/>
        <c:crosses val="autoZero"/>
        <c:crossBetween val="midCat"/>
      </c:valAx>
      <c:spPr>
        <a:solidFill>
          <a:schemeClr val="bg1"/>
        </a:solidFill>
        <a:ln w="9525">
          <a:solidFill>
            <a:schemeClr val="tx1"/>
          </a:solidFill>
        </a:ln>
        <a:effectLst/>
      </c:spPr>
    </c:plotArea>
    <c:legend>
      <c:legendPos val="tr"/>
      <c:layout>
        <c:manualLayout>
          <c:xMode val="edge"/>
          <c:yMode val="edge"/>
          <c:x val="0.15479243385450286"/>
          <c:y val="0.73625844319892286"/>
          <c:w val="0.39313310625724884"/>
          <c:h val="0.13204550439840554"/>
        </c:manualLayout>
      </c:layout>
      <c:overlay val="0"/>
      <c:spPr>
        <a:solidFill>
          <a:schemeClr val="bg1"/>
        </a:solidFill>
        <a:ln>
          <a:solidFill>
            <a:schemeClr val="bg1">
              <a:lumMod val="75000"/>
            </a:schemeClr>
          </a:solidFill>
        </a:ln>
        <a:effectLst>
          <a:outerShdw blurRad="50800" dist="38100" dir="18900000" algn="bl" rotWithShape="0">
            <a:prstClr val="black">
              <a:alpha val="40000"/>
            </a:prstClr>
          </a:outerShdw>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Peak Airblast (AB)</a:t>
            </a:r>
            <a:r>
              <a:rPr lang="en-US" b="1" baseline="0"/>
              <a:t> vs. Cube Root Scaled Distance (SD</a:t>
            </a:r>
            <a:r>
              <a:rPr lang="en-US" b="1" baseline="-25000"/>
              <a:t>3</a:t>
            </a:r>
            <a:r>
              <a:rPr lang="en-US" b="1" baseline="0"/>
              <a:t>)</a:t>
            </a:r>
            <a:endParaRPr lang="en-US" b="1"/>
          </a:p>
        </c:rich>
      </c:tx>
      <c:layout>
        <c:manualLayout>
          <c:xMode val="edge"/>
          <c:yMode val="edge"/>
          <c:x val="0.2537958243754031"/>
          <c:y val="4.0345821325648415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6175446164253571"/>
          <c:y val="0.11610837550205359"/>
          <c:w val="0.73795466909303042"/>
          <c:h val="0.76972569902750598"/>
        </c:manualLayout>
      </c:layout>
      <c:scatterChart>
        <c:scatterStyle val="lineMarker"/>
        <c:varyColors val="0"/>
        <c:ser>
          <c:idx val="0"/>
          <c:order val="0"/>
          <c:tx>
            <c:v>Blast Event Data</c:v>
          </c:tx>
          <c:spPr>
            <a:ln w="25400" cap="rnd">
              <a:noFill/>
              <a:round/>
            </a:ln>
            <a:effectLst/>
          </c:spPr>
          <c:marker>
            <c:symbol val="diamond"/>
            <c:size val="6"/>
            <c:spPr>
              <a:solidFill>
                <a:srgbClr val="7030A0"/>
              </a:solidFill>
              <a:ln w="9525">
                <a:solidFill>
                  <a:schemeClr val="tx1"/>
                </a:solidFill>
              </a:ln>
              <a:effectLst/>
            </c:spPr>
          </c:marker>
          <c:trendline>
            <c:name>Best Fit Line</c:name>
            <c:spPr>
              <a:ln w="25400" cap="rnd">
                <a:solidFill>
                  <a:schemeClr val="tx1"/>
                </a:solidFill>
                <a:prstDash val="solid"/>
              </a:ln>
              <a:effectLst/>
            </c:spPr>
            <c:trendlineType val="power"/>
            <c:dispRSqr val="1"/>
            <c:dispEq val="0"/>
            <c:trendlineLbl>
              <c:layout>
                <c:manualLayout>
                  <c:x val="5.9101312200978855E-2"/>
                  <c:y val="-0.50100456252611503"/>
                </c:manualLayout>
              </c:layout>
              <c:numFmt formatCode="General" sourceLinked="0"/>
              <c:spPr>
                <a:solidFill>
                  <a:schemeClr val="bg1"/>
                </a:solidFill>
                <a:ln>
                  <a:solidFill>
                    <a:schemeClr val="bg1">
                      <a:lumMod val="75000"/>
                    </a:schemeClr>
                  </a:solidFill>
                </a:ln>
                <a:effectLst>
                  <a:outerShdw blurRad="50800" dist="38100" dir="8100000" algn="tr" rotWithShape="0">
                    <a:prstClr val="black">
                      <a:alpha val="40000"/>
                    </a:prstClr>
                  </a:outerShdw>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rendlineLbl>
          </c:trendline>
          <c:xVal>
            <c:numRef>
              <c:f>[0]!SD3_0.33</c:f>
              <c:numCache>
                <c:formatCode>0.00</c:formatCode>
                <c:ptCount val="184"/>
                <c:pt idx="0">
                  <c:v>6.6424810764239437</c:v>
                </c:pt>
                <c:pt idx="1">
                  <c:v>47.693014128723917</c:v>
                </c:pt>
                <c:pt idx="2">
                  <c:v>90.337742639365644</c:v>
                </c:pt>
                <c:pt idx="3">
                  <c:v>132.1853734208365</c:v>
                </c:pt>
                <c:pt idx="4">
                  <c:v>161.27944053557337</c:v>
                </c:pt>
                <c:pt idx="5">
                  <c:v>385.79530091870265</c:v>
                </c:pt>
                <c:pt idx="6">
                  <c:v>434.94966088423985</c:v>
                </c:pt>
                <c:pt idx="7">
                  <c:v>7.0286055441812438</c:v>
                </c:pt>
                <c:pt idx="8">
                  <c:v>45.545363926294463</c:v>
                </c:pt>
                <c:pt idx="9">
                  <c:v>99.946770838257294</c:v>
                </c:pt>
                <c:pt idx="10">
                  <c:v>155.75389885905636</c:v>
                </c:pt>
                <c:pt idx="11">
                  <c:v>182.04088359429423</c:v>
                </c:pt>
                <c:pt idx="12">
                  <c:v>237.56686739332605</c:v>
                </c:pt>
                <c:pt idx="13">
                  <c:v>311.78894193987998</c:v>
                </c:pt>
                <c:pt idx="14">
                  <c:v>81.812968534269686</c:v>
                </c:pt>
                <c:pt idx="15">
                  <c:v>134.94922644827989</c:v>
                </c:pt>
                <c:pt idx="16">
                  <c:v>170.6545426127206</c:v>
                </c:pt>
                <c:pt idx="17">
                  <c:v>200.45583012004909</c:v>
                </c:pt>
                <c:pt idx="18">
                  <c:v>482.44348455260058</c:v>
                </c:pt>
                <c:pt idx="19">
                  <c:v>55.589455318293552</c:v>
                </c:pt>
                <c:pt idx="20">
                  <c:v>111.1789106365871</c:v>
                </c:pt>
                <c:pt idx="21">
                  <c:v>177.85818153605538</c:v>
                </c:pt>
                <c:pt idx="22">
                  <c:v>223.90197280979348</c:v>
                </c:pt>
                <c:pt idx="23">
                  <c:v>266.71708359787311</c:v>
                </c:pt>
                <c:pt idx="24">
                  <c:v>88.999279474237653</c:v>
                </c:pt>
                <c:pt idx="25">
                  <c:v>118.47853608242363</c:v>
                </c:pt>
                <c:pt idx="26">
                  <c:v>74.119273757724741</c:v>
                </c:pt>
                <c:pt idx="27">
                  <c:v>110.33664616206751</c:v>
                </c:pt>
                <c:pt idx="28">
                  <c:v>192.59780984014839</c:v>
                </c:pt>
                <c:pt idx="29">
                  <c:v>266.71708359787311</c:v>
                </c:pt>
                <c:pt idx="30">
                  <c:v>259.4174581520366</c:v>
                </c:pt>
                <c:pt idx="31">
                  <c:v>37.059636878862371</c:v>
                </c:pt>
                <c:pt idx="32">
                  <c:v>74.119273757724741</c:v>
                </c:pt>
                <c:pt idx="33">
                  <c:v>123.25136810470137</c:v>
                </c:pt>
                <c:pt idx="34">
                  <c:v>197.51101927484603</c:v>
                </c:pt>
                <c:pt idx="35">
                  <c:v>438.67941381229133</c:v>
                </c:pt>
                <c:pt idx="36">
                  <c:v>12.474960973578176</c:v>
                </c:pt>
                <c:pt idx="37">
                  <c:v>41.583203245260584</c:v>
                </c:pt>
                <c:pt idx="38">
                  <c:v>97.027474238941366</c:v>
                </c:pt>
                <c:pt idx="39">
                  <c:v>170.49113330556841</c:v>
                </c:pt>
                <c:pt idx="40">
                  <c:v>304.94349046524428</c:v>
                </c:pt>
                <c:pt idx="41">
                  <c:v>360.38776145892507</c:v>
                </c:pt>
                <c:pt idx="42">
                  <c:v>13.196545731324571</c:v>
                </c:pt>
                <c:pt idx="43">
                  <c:v>41.718112311929289</c:v>
                </c:pt>
                <c:pt idx="44">
                  <c:v>71.516763963307355</c:v>
                </c:pt>
                <c:pt idx="45">
                  <c:v>128.27610044212273</c:v>
                </c:pt>
                <c:pt idx="46">
                  <c:v>203.48222127655308</c:v>
                </c:pt>
                <c:pt idx="47">
                  <c:v>341.12361223768033</c:v>
                </c:pt>
                <c:pt idx="48">
                  <c:v>397.88294871649566</c:v>
                </c:pt>
                <c:pt idx="49">
                  <c:v>36.940800763747419</c:v>
                </c:pt>
                <c:pt idx="50">
                  <c:v>99.348365690381314</c:v>
                </c:pt>
                <c:pt idx="51">
                  <c:v>147.76320305498967</c:v>
                </c:pt>
                <c:pt idx="52">
                  <c:v>236.4770957982316</c:v>
                </c:pt>
                <c:pt idx="53">
                  <c:v>450.5658274972223</c:v>
                </c:pt>
                <c:pt idx="54">
                  <c:v>99.348365690381314</c:v>
                </c:pt>
                <c:pt idx="55">
                  <c:v>115.30007511109044</c:v>
                </c:pt>
                <c:pt idx="56">
                  <c:v>169.87171260299002</c:v>
                </c:pt>
                <c:pt idx="57">
                  <c:v>200.93556779068672</c:v>
                </c:pt>
                <c:pt idx="58">
                  <c:v>450.5658274972223</c:v>
                </c:pt>
                <c:pt idx="59">
                  <c:v>13.417343950607707</c:v>
                </c:pt>
                <c:pt idx="60">
                  <c:v>75.539646441921391</c:v>
                </c:pt>
                <c:pt idx="61">
                  <c:v>83.187532493767776</c:v>
                </c:pt>
                <c:pt idx="62">
                  <c:v>114.98663765670804</c:v>
                </c:pt>
                <c:pt idx="63">
                  <c:v>186.0985605949289</c:v>
                </c:pt>
                <c:pt idx="64">
                  <c:v>288.47289493806568</c:v>
                </c:pt>
                <c:pt idx="65">
                  <c:v>301.89023888867342</c:v>
                </c:pt>
                <c:pt idx="66">
                  <c:v>368.97695864171192</c:v>
                </c:pt>
                <c:pt idx="67">
                  <c:v>27.791738765061353</c:v>
                </c:pt>
                <c:pt idx="68">
                  <c:v>15.186742494569046</c:v>
                </c:pt>
                <c:pt idx="69">
                  <c:v>58.165223754199445</c:v>
                </c:pt>
                <c:pt idx="70">
                  <c:v>80.489735221215938</c:v>
                </c:pt>
                <c:pt idx="71">
                  <c:v>199.40192895369157</c:v>
                </c:pt>
                <c:pt idx="72">
                  <c:v>331.5265886564423</c:v>
                </c:pt>
                <c:pt idx="73">
                  <c:v>437.83378611842562</c:v>
                </c:pt>
                <c:pt idx="74">
                  <c:v>422.64704362385658</c:v>
                </c:pt>
                <c:pt idx="75">
                  <c:v>14.807546137693759</c:v>
                </c:pt>
                <c:pt idx="76">
                  <c:v>55.972524400482413</c:v>
                </c:pt>
                <c:pt idx="77">
                  <c:v>91.362559669570501</c:v>
                </c:pt>
                <c:pt idx="78">
                  <c:v>194.71923171067294</c:v>
                </c:pt>
                <c:pt idx="79">
                  <c:v>282.23182938444307</c:v>
                </c:pt>
                <c:pt idx="80">
                  <c:v>363.67333314175875</c:v>
                </c:pt>
                <c:pt idx="81">
                  <c:v>452.51860996792129</c:v>
                </c:pt>
                <c:pt idx="82">
                  <c:v>14.244306185952277</c:v>
                </c:pt>
                <c:pt idx="83">
                  <c:v>53.843477382899607</c:v>
                </c:pt>
                <c:pt idx="84">
                  <c:v>87.887369167325545</c:v>
                </c:pt>
                <c:pt idx="85">
                  <c:v>187.31262634527243</c:v>
                </c:pt>
                <c:pt idx="86">
                  <c:v>271.49647590425042</c:v>
                </c:pt>
                <c:pt idx="87">
                  <c:v>351.12214748372367</c:v>
                </c:pt>
                <c:pt idx="88">
                  <c:v>436.58798459943728</c:v>
                </c:pt>
                <c:pt idx="89">
                  <c:v>453.68115202258002</c:v>
                </c:pt>
                <c:pt idx="90">
                  <c:v>14.237451369597297</c:v>
                </c:pt>
                <c:pt idx="91">
                  <c:v>45.132720841623431</c:v>
                </c:pt>
                <c:pt idx="92">
                  <c:v>79.160229614960969</c:v>
                </c:pt>
                <c:pt idx="93">
                  <c:v>178.53764017475009</c:v>
                </c:pt>
                <c:pt idx="94">
                  <c:v>262.68097776907013</c:v>
                </c:pt>
                <c:pt idx="95">
                  <c:v>340.98696030185528</c:v>
                </c:pt>
                <c:pt idx="96">
                  <c:v>427.69303914270279</c:v>
                </c:pt>
                <c:pt idx="97">
                  <c:v>547.99950321580002</c:v>
                </c:pt>
                <c:pt idx="98">
                  <c:v>6.8318970813299611</c:v>
                </c:pt>
                <c:pt idx="99">
                  <c:v>43.314227495631954</c:v>
                </c:pt>
                <c:pt idx="100">
                  <c:v>93.733627955847069</c:v>
                </c:pt>
                <c:pt idx="101">
                  <c:v>165.87846113469146</c:v>
                </c:pt>
                <c:pt idx="102">
                  <c:v>245.26510521974561</c:v>
                </c:pt>
                <c:pt idx="103">
                  <c:v>252.50691612595537</c:v>
                </c:pt>
                <c:pt idx="104">
                  <c:v>310.16812749238022</c:v>
                </c:pt>
                <c:pt idx="105">
                  <c:v>173.12027204090123</c:v>
                </c:pt>
                <c:pt idx="106">
                  <c:v>180.36208294711099</c:v>
                </c:pt>
                <c:pt idx="107">
                  <c:v>210.42243010496281</c:v>
                </c:pt>
                <c:pt idx="108">
                  <c:v>223.67631044274293</c:v>
                </c:pt>
                <c:pt idx="109">
                  <c:v>252.50691612595537</c:v>
                </c:pt>
                <c:pt idx="110">
                  <c:v>14.469309008307448</c:v>
                </c:pt>
                <c:pt idx="111">
                  <c:v>40.620261986624577</c:v>
                </c:pt>
                <c:pt idx="112">
                  <c:v>82.700729469500374</c:v>
                </c:pt>
                <c:pt idx="113">
                  <c:v>143.63112244943724</c:v>
                </c:pt>
                <c:pt idx="114">
                  <c:v>177.87957863423836</c:v>
                </c:pt>
                <c:pt idx="115">
                  <c:v>493.28396582449977</c:v>
                </c:pt>
                <c:pt idx="116">
                  <c:v>13.542737926087407</c:v>
                </c:pt>
                <c:pt idx="117">
                  <c:v>27.536900449711059</c:v>
                </c:pt>
                <c:pt idx="118">
                  <c:v>63.500393386765396</c:v>
                </c:pt>
                <c:pt idx="119">
                  <c:v>126.69983704183996</c:v>
                </c:pt>
                <c:pt idx="120">
                  <c:v>174.85179411237297</c:v>
                </c:pt>
                <c:pt idx="121">
                  <c:v>484.67954288808374</c:v>
                </c:pt>
                <c:pt idx="122">
                  <c:v>14.412893506025844</c:v>
                </c:pt>
                <c:pt idx="123">
                  <c:v>37.761780985787709</c:v>
                </c:pt>
                <c:pt idx="124">
                  <c:v>73.794014750852313</c:v>
                </c:pt>
                <c:pt idx="125">
                  <c:v>134.76055428134163</c:v>
                </c:pt>
                <c:pt idx="126">
                  <c:v>197.02425422737329</c:v>
                </c:pt>
                <c:pt idx="127">
                  <c:v>244.73093173231882</c:v>
                </c:pt>
                <c:pt idx="128">
                  <c:v>296.90560622413238</c:v>
                </c:pt>
                <c:pt idx="129">
                  <c:v>432.96332092101636</c:v>
                </c:pt>
                <c:pt idx="130">
                  <c:v>534.14183333331778</c:v>
                </c:pt>
                <c:pt idx="131">
                  <c:v>6.6192824669326038</c:v>
                </c:pt>
                <c:pt idx="132">
                  <c:v>69.899622850808299</c:v>
                </c:pt>
                <c:pt idx="133">
                  <c:v>111.73348804182235</c:v>
                </c:pt>
                <c:pt idx="134">
                  <c:v>181.7654965419693</c:v>
                </c:pt>
                <c:pt idx="135">
                  <c:v>258.68155880772616</c:v>
                </c:pt>
                <c:pt idx="136">
                  <c:v>265.56561257333607</c:v>
                </c:pt>
                <c:pt idx="137">
                  <c:v>321.43235659424727</c:v>
                </c:pt>
                <c:pt idx="138">
                  <c:v>167.73261771207217</c:v>
                </c:pt>
                <c:pt idx="139">
                  <c:v>181.63311089263064</c:v>
                </c:pt>
                <c:pt idx="140">
                  <c:v>209.6988685524249</c:v>
                </c:pt>
                <c:pt idx="141">
                  <c:v>223.731747382322</c:v>
                </c:pt>
                <c:pt idx="142">
                  <c:v>258.68155880772616</c:v>
                </c:pt>
                <c:pt idx="143">
                  <c:v>139.7992457016166</c:v>
                </c:pt>
                <c:pt idx="144">
                  <c:v>146.81568511656516</c:v>
                </c:pt>
                <c:pt idx="145">
                  <c:v>174.74905712702073</c:v>
                </c:pt>
                <c:pt idx="146">
                  <c:v>209.6988685524249</c:v>
                </c:pt>
                <c:pt idx="147">
                  <c:v>231.41011504396383</c:v>
                </c:pt>
                <c:pt idx="148">
                  <c:v>6.6872040781929609</c:v>
                </c:pt>
                <c:pt idx="149">
                  <c:v>85.99744444556147</c:v>
                </c:pt>
                <c:pt idx="150">
                  <c:v>127.05687748566625</c:v>
                </c:pt>
                <c:pt idx="151">
                  <c:v>189.24787541286079</c:v>
                </c:pt>
                <c:pt idx="152">
                  <c:v>275.11157577685839</c:v>
                </c:pt>
                <c:pt idx="153">
                  <c:v>261.20219129421707</c:v>
                </c:pt>
                <c:pt idx="154">
                  <c:v>324.73063003705016</c:v>
                </c:pt>
                <c:pt idx="155">
                  <c:v>30.290763618786126</c:v>
                </c:pt>
                <c:pt idx="156">
                  <c:v>8.6134872849628792</c:v>
                </c:pt>
                <c:pt idx="157">
                  <c:v>60.581527237572253</c:v>
                </c:pt>
                <c:pt idx="158">
                  <c:v>113.69803216151001</c:v>
                </c:pt>
                <c:pt idx="159">
                  <c:v>181.88813983413283</c:v>
                </c:pt>
                <c:pt idx="160">
                  <c:v>219.7874838879695</c:v>
                </c:pt>
                <c:pt idx="161">
                  <c:v>303.19475243069337</c:v>
                </c:pt>
                <c:pt idx="162">
                  <c:v>416.89278459220338</c:v>
                </c:pt>
                <c:pt idx="163">
                  <c:v>522.9822363186629</c:v>
                </c:pt>
                <c:pt idx="164">
                  <c:v>19.953419627206042</c:v>
                </c:pt>
                <c:pt idx="165">
                  <c:v>46.600074952145754</c:v>
                </c:pt>
                <c:pt idx="166">
                  <c:v>93.326437370286484</c:v>
                </c:pt>
                <c:pt idx="167">
                  <c:v>153.43927118389456</c:v>
                </c:pt>
                <c:pt idx="168">
                  <c:v>186.77916220656795</c:v>
                </c:pt>
                <c:pt idx="169">
                  <c:v>260.02589248365342</c:v>
                </c:pt>
                <c:pt idx="170">
                  <c:v>366.73880124940723</c:v>
                </c:pt>
                <c:pt idx="171">
                  <c:v>12.758547539464425</c:v>
                </c:pt>
                <c:pt idx="172">
                  <c:v>93.00981156269566</c:v>
                </c:pt>
                <c:pt idx="173">
                  <c:v>125.03376588675138</c:v>
                </c:pt>
                <c:pt idx="174">
                  <c:v>154.88876712909814</c:v>
                </c:pt>
                <c:pt idx="175">
                  <c:v>188.57133263328421</c:v>
                </c:pt>
                <c:pt idx="176">
                  <c:v>390.66672565840071</c:v>
                </c:pt>
                <c:pt idx="177">
                  <c:v>425.1148040149547</c:v>
                </c:pt>
                <c:pt idx="178">
                  <c:v>35.345722758471496</c:v>
                </c:pt>
                <c:pt idx="179">
                  <c:v>73.186437711658627</c:v>
                </c:pt>
                <c:pt idx="180">
                  <c:v>124.61099905829757</c:v>
                </c:pt>
                <c:pt idx="181">
                  <c:v>161.06560723664268</c:v>
                </c:pt>
                <c:pt idx="182">
                  <c:v>386.86240085840768</c:v>
                </c:pt>
                <c:pt idx="183">
                  <c:v>453.81135808327718</c:v>
                </c:pt>
              </c:numCache>
            </c:numRef>
          </c:xVal>
          <c:yVal>
            <c:numRef>
              <c:f>[0]!Ab_psi</c:f>
              <c:numCache>
                <c:formatCode>0.0000</c:formatCode>
                <c:ptCount val="184"/>
                <c:pt idx="0">
                  <c:v>2.5846277205878648E-2</c:v>
                </c:pt>
                <c:pt idx="1">
                  <c:v>9.1706052144883161E-3</c:v>
                </c:pt>
                <c:pt idx="2">
                  <c:v>5.7862607134097519E-3</c:v>
                </c:pt>
                <c:pt idx="3">
                  <c:v>3.6508836942030862E-3</c:v>
                </c:pt>
                <c:pt idx="4">
                  <c:v>2.5846277205878667E-3</c:v>
                </c:pt>
                <c:pt idx="5">
                  <c:v>1.1545107946051418E-3</c:v>
                </c:pt>
                <c:pt idx="6">
                  <c:v>8.1733105006669257E-4</c:v>
                </c:pt>
                <c:pt idx="7">
                  <c:v>1.6307898430520142E-2</c:v>
                </c:pt>
                <c:pt idx="8">
                  <c:v>5.1570102891128795E-3</c:v>
                </c:pt>
                <c:pt idx="9">
                  <c:v>3.2538535174756961E-3</c:v>
                </c:pt>
                <c:pt idx="10">
                  <c:v>2.0530427747140019E-3</c:v>
                </c:pt>
                <c:pt idx="11">
                  <c:v>1.8297762989925629E-3</c:v>
                </c:pt>
                <c:pt idx="12">
                  <c:v>1.1545107946051418E-3</c:v>
                </c:pt>
                <c:pt idx="13">
                  <c:v>8.1733105006669257E-4</c:v>
                </c:pt>
                <c:pt idx="14">
                  <c:v>1.1545107946051431E-2</c:v>
                </c:pt>
                <c:pt idx="15">
                  <c:v>5.1570102891128795E-3</c:v>
                </c:pt>
                <c:pt idx="16">
                  <c:v>3.6508836942030862E-3</c:v>
                </c:pt>
                <c:pt idx="17">
                  <c:v>2.3035518807004215E-3</c:v>
                </c:pt>
                <c:pt idx="18">
                  <c:v>1.1545107946051418E-3</c:v>
                </c:pt>
                <c:pt idx="19">
                  <c:v>9.1706052144883161E-3</c:v>
                </c:pt>
                <c:pt idx="20">
                  <c:v>5.1570102891128795E-3</c:v>
                </c:pt>
                <c:pt idx="21">
                  <c:v>4.5961902581372347E-3</c:v>
                </c:pt>
                <c:pt idx="22">
                  <c:v>4.0963588794059938E-3</c:v>
                </c:pt>
                <c:pt idx="23">
                  <c:v>2.8999999999999998E-3</c:v>
                </c:pt>
                <c:pt idx="24">
                  <c:v>3.6508836942030862E-3</c:v>
                </c:pt>
                <c:pt idx="25">
                  <c:v>3.6508836942030862E-3</c:v>
                </c:pt>
                <c:pt idx="26">
                  <c:v>5.1570102891128795E-3</c:v>
                </c:pt>
                <c:pt idx="27">
                  <c:v>3.6508836942030862E-3</c:v>
                </c:pt>
                <c:pt idx="28">
                  <c:v>2.8999999999999998E-3</c:v>
                </c:pt>
                <c:pt idx="29">
                  <c:v>3.2538535174756961E-3</c:v>
                </c:pt>
                <c:pt idx="30">
                  <c:v>1.4534429775190931E-3</c:v>
                </c:pt>
                <c:pt idx="31">
                  <c:v>7.2844706513778019E-3</c:v>
                </c:pt>
                <c:pt idx="32">
                  <c:v>3.6508836942030862E-3</c:v>
                </c:pt>
                <c:pt idx="33">
                  <c:v>2.0530427747140019E-3</c:v>
                </c:pt>
                <c:pt idx="34">
                  <c:v>2.0530427747140019E-3</c:v>
                </c:pt>
                <c:pt idx="35">
                  <c:v>8.1733105006669257E-4</c:v>
                </c:pt>
                <c:pt idx="36">
                  <c:v>2.5846277205878648E-2</c:v>
                </c:pt>
                <c:pt idx="37">
                  <c:v>9.1706052144883161E-3</c:v>
                </c:pt>
                <c:pt idx="38">
                  <c:v>4.0963588794059938E-3</c:v>
                </c:pt>
                <c:pt idx="39">
                  <c:v>2.5846277205878667E-3</c:v>
                </c:pt>
                <c:pt idx="40">
                  <c:v>1.8297762989925629E-3</c:v>
                </c:pt>
                <c:pt idx="41">
                  <c:v>1.8297762989925629E-3</c:v>
                </c:pt>
                <c:pt idx="42">
                  <c:v>2.3035518807004197E-2</c:v>
                </c:pt>
                <c:pt idx="43">
                  <c:v>9.1706052144883161E-3</c:v>
                </c:pt>
                <c:pt idx="44">
                  <c:v>4.5961902581372347E-3</c:v>
                </c:pt>
                <c:pt idx="45">
                  <c:v>3.2538535174756961E-3</c:v>
                </c:pt>
                <c:pt idx="46">
                  <c:v>5.1570102891128795E-3</c:v>
                </c:pt>
                <c:pt idx="47">
                  <c:v>1.8297762989925629E-3</c:v>
                </c:pt>
                <c:pt idx="48">
                  <c:v>1.1545107946051418E-3</c:v>
                </c:pt>
                <c:pt idx="49">
                  <c:v>9.1706052144883161E-3</c:v>
                </c:pt>
                <c:pt idx="50">
                  <c:v>4.0963588794059938E-3</c:v>
                </c:pt>
                <c:pt idx="51">
                  <c:v>2.8999999999999998E-3</c:v>
                </c:pt>
                <c:pt idx="52">
                  <c:v>1.4534429775190931E-3</c:v>
                </c:pt>
                <c:pt idx="53">
                  <c:v>1.1545107946051418E-3</c:v>
                </c:pt>
                <c:pt idx="54">
                  <c:v>7.2844706513778019E-3</c:v>
                </c:pt>
                <c:pt idx="55">
                  <c:v>3.6508836942030862E-3</c:v>
                </c:pt>
                <c:pt idx="56">
                  <c:v>2.0530427747140019E-3</c:v>
                </c:pt>
                <c:pt idx="57">
                  <c:v>1.4534429775190931E-3</c:v>
                </c:pt>
                <c:pt idx="58">
                  <c:v>8.1733105006669257E-4</c:v>
                </c:pt>
                <c:pt idx="59">
                  <c:v>2.0530427747140007E-2</c:v>
                </c:pt>
                <c:pt idx="60">
                  <c:v>4.0963588794059938E-3</c:v>
                </c:pt>
                <c:pt idx="61">
                  <c:v>2.5846277205878667E-3</c:v>
                </c:pt>
                <c:pt idx="62">
                  <c:v>2.0530427747140019E-3</c:v>
                </c:pt>
                <c:pt idx="63">
                  <c:v>2.5846277205878667E-3</c:v>
                </c:pt>
                <c:pt idx="64">
                  <c:v>1.8297762989925629E-3</c:v>
                </c:pt>
                <c:pt idx="65">
                  <c:v>8.1733105006669257E-4</c:v>
                </c:pt>
                <c:pt idx="66">
                  <c:v>8.1733105006669257E-4</c:v>
                </c:pt>
                <c:pt idx="67">
                  <c:v>1.453442977519092E-2</c:v>
                </c:pt>
                <c:pt idx="68">
                  <c:v>2.8999999999999998E-2</c:v>
                </c:pt>
                <c:pt idx="69">
                  <c:v>7.2844706513778019E-3</c:v>
                </c:pt>
                <c:pt idx="70">
                  <c:v>3.6508836942030862E-3</c:v>
                </c:pt>
                <c:pt idx="71">
                  <c:v>2.5846277205878667E-3</c:v>
                </c:pt>
                <c:pt idx="72">
                  <c:v>2.0530427747140019E-3</c:v>
                </c:pt>
                <c:pt idx="73">
                  <c:v>1.4534429775190931E-3</c:v>
                </c:pt>
                <c:pt idx="74">
                  <c:v>1.4534429775190931E-3</c:v>
                </c:pt>
                <c:pt idx="75">
                  <c:v>1.8297762989925619E-2</c:v>
                </c:pt>
                <c:pt idx="76">
                  <c:v>4.0963588794059938E-3</c:v>
                </c:pt>
                <c:pt idx="77">
                  <c:v>2.8999999999999998E-3</c:v>
                </c:pt>
                <c:pt idx="78">
                  <c:v>1.4534429775190931E-3</c:v>
                </c:pt>
                <c:pt idx="79">
                  <c:v>1.4534429775190931E-3</c:v>
                </c:pt>
                <c:pt idx="80">
                  <c:v>5.786260713409755E-4</c:v>
                </c:pt>
                <c:pt idx="81">
                  <c:v>5.786260713409755E-4</c:v>
                </c:pt>
                <c:pt idx="82">
                  <c:v>2.0530427747140007E-2</c:v>
                </c:pt>
                <c:pt idx="83">
                  <c:v>6.4922913018481826E-3</c:v>
                </c:pt>
                <c:pt idx="84">
                  <c:v>2.8999999999999998E-3</c:v>
                </c:pt>
                <c:pt idx="85">
                  <c:v>2.0530427747140019E-3</c:v>
                </c:pt>
                <c:pt idx="86">
                  <c:v>1.8297762989925629E-3</c:v>
                </c:pt>
                <c:pt idx="87">
                  <c:v>8.1733105006669257E-4</c:v>
                </c:pt>
                <c:pt idx="88">
                  <c:v>5.786260713409755E-4</c:v>
                </c:pt>
                <c:pt idx="89">
                  <c:v>5.786260713409755E-4</c:v>
                </c:pt>
                <c:pt idx="90">
                  <c:v>2.0530427747140007E-2</c:v>
                </c:pt>
                <c:pt idx="91">
                  <c:v>6.4922913018481826E-3</c:v>
                </c:pt>
                <c:pt idx="92">
                  <c:v>5.1570102891128795E-3</c:v>
                </c:pt>
                <c:pt idx="93">
                  <c:v>3.2538535174756961E-3</c:v>
                </c:pt>
                <c:pt idx="94">
                  <c:v>2.5846277205878667E-3</c:v>
                </c:pt>
                <c:pt idx="95">
                  <c:v>1.1545107946051418E-3</c:v>
                </c:pt>
                <c:pt idx="96">
                  <c:v>8.1733105006669257E-4</c:v>
                </c:pt>
                <c:pt idx="97">
                  <c:v>5.786260713409755E-4</c:v>
                </c:pt>
                <c:pt idx="98">
                  <c:v>2.3035518807004197E-2</c:v>
                </c:pt>
                <c:pt idx="99">
                  <c:v>7.2844706513778019E-3</c:v>
                </c:pt>
                <c:pt idx="100">
                  <c:v>2.3035518807004215E-3</c:v>
                </c:pt>
                <c:pt idx="101">
                  <c:v>2.3035518807004215E-3</c:v>
                </c:pt>
                <c:pt idx="102">
                  <c:v>2.3035518807004215E-3</c:v>
                </c:pt>
                <c:pt idx="103">
                  <c:v>8.1733105006669257E-4</c:v>
                </c:pt>
                <c:pt idx="104">
                  <c:v>5.786260713409755E-4</c:v>
                </c:pt>
                <c:pt idx="105">
                  <c:v>4.0963588794059938E-3</c:v>
                </c:pt>
                <c:pt idx="106">
                  <c:v>2.8999999999999998E-3</c:v>
                </c:pt>
                <c:pt idx="107">
                  <c:v>2.5846277205878667E-3</c:v>
                </c:pt>
                <c:pt idx="108">
                  <c:v>2.0530427747140019E-3</c:v>
                </c:pt>
                <c:pt idx="109">
                  <c:v>1.4534429775190931E-3</c:v>
                </c:pt>
                <c:pt idx="110">
                  <c:v>2.0530427747140007E-2</c:v>
                </c:pt>
                <c:pt idx="111">
                  <c:v>9.1706052144883161E-3</c:v>
                </c:pt>
                <c:pt idx="112">
                  <c:v>6.4922913018481826E-3</c:v>
                </c:pt>
                <c:pt idx="113">
                  <c:v>4.0963588794059938E-3</c:v>
                </c:pt>
                <c:pt idx="114">
                  <c:v>2.5846277205878667E-3</c:v>
                </c:pt>
                <c:pt idx="115">
                  <c:v>5.786260713409755E-4</c:v>
                </c:pt>
                <c:pt idx="116">
                  <c:v>2.3035518807004197E-2</c:v>
                </c:pt>
                <c:pt idx="117">
                  <c:v>1.453442977519092E-2</c:v>
                </c:pt>
                <c:pt idx="118">
                  <c:v>5.7862607134097519E-3</c:v>
                </c:pt>
                <c:pt idx="119">
                  <c:v>2.0530427747140019E-3</c:v>
                </c:pt>
                <c:pt idx="120">
                  <c:v>1.8297762989925629E-3</c:v>
                </c:pt>
                <c:pt idx="121">
                  <c:v>5.786260713409755E-4</c:v>
                </c:pt>
                <c:pt idx="122">
                  <c:v>2.8999999999999998E-2</c:v>
                </c:pt>
                <c:pt idx="123">
                  <c:v>9.1706052144883161E-3</c:v>
                </c:pt>
                <c:pt idx="124">
                  <c:v>4.5961902581372347E-3</c:v>
                </c:pt>
                <c:pt idx="125">
                  <c:v>2.5846277205878667E-3</c:v>
                </c:pt>
                <c:pt idx="126">
                  <c:v>2.5846277205878667E-3</c:v>
                </c:pt>
                <c:pt idx="127">
                  <c:v>1.8297762989925629E-3</c:v>
                </c:pt>
                <c:pt idx="128">
                  <c:v>1.1545107946051418E-3</c:v>
                </c:pt>
                <c:pt idx="129">
                  <c:v>5.786260713409755E-4</c:v>
                </c:pt>
                <c:pt idx="130">
                  <c:v>5.786260713409755E-4</c:v>
                </c:pt>
                <c:pt idx="131">
                  <c:v>2.8999999999999998E-2</c:v>
                </c:pt>
                <c:pt idx="132">
                  <c:v>7.2844706513778019E-3</c:v>
                </c:pt>
                <c:pt idx="133">
                  <c:v>3.6508836942030862E-3</c:v>
                </c:pt>
                <c:pt idx="134">
                  <c:v>2.3035518807004215E-3</c:v>
                </c:pt>
                <c:pt idx="135">
                  <c:v>2.5846277205878667E-3</c:v>
                </c:pt>
                <c:pt idx="136">
                  <c:v>1.8297762989925629E-3</c:v>
                </c:pt>
                <c:pt idx="137">
                  <c:v>1.4534429775190931E-3</c:v>
                </c:pt>
                <c:pt idx="138">
                  <c:v>4.0963588794059938E-3</c:v>
                </c:pt>
                <c:pt idx="139">
                  <c:v>6.4922913018481826E-3</c:v>
                </c:pt>
                <c:pt idx="140">
                  <c:v>2.0530427747140019E-3</c:v>
                </c:pt>
                <c:pt idx="141">
                  <c:v>4.5961902581372347E-3</c:v>
                </c:pt>
                <c:pt idx="142">
                  <c:v>2.8999999999999998E-3</c:v>
                </c:pt>
                <c:pt idx="143">
                  <c:v>4.0963588794059938E-3</c:v>
                </c:pt>
                <c:pt idx="144">
                  <c:v>2.3035518807004215E-3</c:v>
                </c:pt>
                <c:pt idx="145">
                  <c:v>1.8297762989925629E-3</c:v>
                </c:pt>
                <c:pt idx="146">
                  <c:v>1.8297762989925629E-3</c:v>
                </c:pt>
                <c:pt idx="147">
                  <c:v>1.4534429775190931E-3</c:v>
                </c:pt>
                <c:pt idx="148">
                  <c:v>1.8297762989925619E-2</c:v>
                </c:pt>
                <c:pt idx="149">
                  <c:v>9.1706052144883161E-3</c:v>
                </c:pt>
                <c:pt idx="150">
                  <c:v>4.5961902581372347E-3</c:v>
                </c:pt>
                <c:pt idx="151">
                  <c:v>2.8999999999999998E-3</c:v>
                </c:pt>
                <c:pt idx="152">
                  <c:v>2.3035518807004215E-3</c:v>
                </c:pt>
                <c:pt idx="153">
                  <c:v>8.1733105006669257E-4</c:v>
                </c:pt>
                <c:pt idx="154">
                  <c:v>8.1733105006669257E-4</c:v>
                </c:pt>
                <c:pt idx="155">
                  <c:v>1.0289588287773703E-2</c:v>
                </c:pt>
                <c:pt idx="156">
                  <c:v>3.6508836942030838E-2</c:v>
                </c:pt>
                <c:pt idx="157">
                  <c:v>1.0289588287773703E-2</c:v>
                </c:pt>
                <c:pt idx="158">
                  <c:v>2.8999999999999998E-3</c:v>
                </c:pt>
                <c:pt idx="159">
                  <c:v>2.0530427747140019E-3</c:v>
                </c:pt>
                <c:pt idx="160">
                  <c:v>1.8297762989925629E-3</c:v>
                </c:pt>
                <c:pt idx="161">
                  <c:v>8.1733105006669257E-4</c:v>
                </c:pt>
                <c:pt idx="162">
                  <c:v>5.786260713409755E-4</c:v>
                </c:pt>
                <c:pt idx="163">
                  <c:v>5.786260713409755E-4</c:v>
                </c:pt>
                <c:pt idx="164">
                  <c:v>1.2953824172377958E-2</c:v>
                </c:pt>
                <c:pt idx="165">
                  <c:v>1.1545107946051431E-2</c:v>
                </c:pt>
                <c:pt idx="166">
                  <c:v>4.0963588794059938E-3</c:v>
                </c:pt>
                <c:pt idx="167">
                  <c:v>2.8999999999999998E-3</c:v>
                </c:pt>
                <c:pt idx="168">
                  <c:v>1.8297762989925629E-3</c:v>
                </c:pt>
                <c:pt idx="169">
                  <c:v>1.1545107946051418E-3</c:v>
                </c:pt>
                <c:pt idx="170">
                  <c:v>8.1733105006669257E-4</c:v>
                </c:pt>
                <c:pt idx="171">
                  <c:v>2.3035518807004197E-2</c:v>
                </c:pt>
                <c:pt idx="172">
                  <c:v>5.7862607134097519E-3</c:v>
                </c:pt>
                <c:pt idx="173">
                  <c:v>3.6508836942030862E-3</c:v>
                </c:pt>
                <c:pt idx="174">
                  <c:v>2.5846277205878667E-3</c:v>
                </c:pt>
                <c:pt idx="175">
                  <c:v>2.0530427747140019E-3</c:v>
                </c:pt>
                <c:pt idx="176">
                  <c:v>5.786260713409755E-4</c:v>
                </c:pt>
                <c:pt idx="177">
                  <c:v>4.0963588794059938E-3</c:v>
                </c:pt>
                <c:pt idx="178">
                  <c:v>1.0289588287773703E-2</c:v>
                </c:pt>
                <c:pt idx="179">
                  <c:v>4.5961902581372347E-3</c:v>
                </c:pt>
                <c:pt idx="180">
                  <c:v>2.5846277205878667E-3</c:v>
                </c:pt>
                <c:pt idx="181">
                  <c:v>2.0530427747140019E-3</c:v>
                </c:pt>
                <c:pt idx="182">
                  <c:v>8.1733105006669257E-4</c:v>
                </c:pt>
                <c:pt idx="183">
                  <c:v>5.786260713409755E-4</c:v>
                </c:pt>
              </c:numCache>
            </c:numRef>
          </c:yVal>
          <c:smooth val="0"/>
          <c:extLst>
            <c:ext xmlns:c16="http://schemas.microsoft.com/office/drawing/2014/chart" uri="{C3380CC4-5D6E-409C-BE32-E72D297353CC}">
              <c16:uniqueId val="{00000001-F76B-4A91-94A6-68992D2068E9}"/>
            </c:ext>
          </c:extLst>
        </c:ser>
        <c:ser>
          <c:idx val="2"/>
          <c:order val="1"/>
          <c:tx>
            <c:v>USBM RI 8485 Coal Mines (Parting)</c:v>
          </c:tx>
          <c:spPr>
            <a:ln w="12700" cap="rnd" cmpd="sng">
              <a:solidFill>
                <a:srgbClr val="002060"/>
              </a:solidFill>
              <a:prstDash val="sysDot"/>
              <a:round/>
            </a:ln>
            <a:effectLst/>
          </c:spPr>
          <c:marker>
            <c:symbol val="none"/>
          </c:marker>
          <c:dPt>
            <c:idx val="1"/>
            <c:marker>
              <c:symbol val="none"/>
            </c:marker>
            <c:bubble3D val="0"/>
            <c:spPr>
              <a:ln w="12700" cap="rnd" cmpd="sng">
                <a:solidFill>
                  <a:srgbClr val="002060"/>
                </a:solidFill>
                <a:prstDash val="sysDot"/>
                <a:round/>
              </a:ln>
              <a:effectLst/>
            </c:spPr>
            <c:extLst>
              <c:ext xmlns:c16="http://schemas.microsoft.com/office/drawing/2014/chart" uri="{C3380CC4-5D6E-409C-BE32-E72D297353CC}">
                <c16:uniqueId val="{00000003-F76B-4A91-94A6-68992D2068E9}"/>
              </c:ext>
            </c:extLst>
          </c:dPt>
          <c:xVal>
            <c:numRef>
              <c:f>AirBlast!$N$2:$N$3</c:f>
              <c:numCache>
                <c:formatCode>0</c:formatCode>
                <c:ptCount val="2"/>
                <c:pt idx="0">
                  <c:v>6</c:v>
                </c:pt>
                <c:pt idx="1">
                  <c:v>600</c:v>
                </c:pt>
              </c:numCache>
              <c:extLst xmlns:c15="http://schemas.microsoft.com/office/drawing/2012/chart"/>
            </c:numRef>
          </c:xVal>
          <c:yVal>
            <c:numRef>
              <c:f>AirBlast!$N$10:$O$10</c:f>
              <c:numCache>
                <c:formatCode>#,##0.0000</c:formatCode>
                <c:ptCount val="2"/>
                <c:pt idx="0">
                  <c:v>9.2743115078031497</c:v>
                </c:pt>
                <c:pt idx="1">
                  <c:v>5.3368092328955107E-3</c:v>
                </c:pt>
              </c:numCache>
              <c:extLst xmlns:c15="http://schemas.microsoft.com/office/drawing/2012/chart"/>
            </c:numRef>
          </c:yVal>
          <c:smooth val="0"/>
          <c:extLst>
            <c:ext xmlns:c16="http://schemas.microsoft.com/office/drawing/2014/chart" uri="{C3380CC4-5D6E-409C-BE32-E72D297353CC}">
              <c16:uniqueId val="{00000004-F76B-4A91-94A6-68992D2068E9}"/>
            </c:ext>
          </c:extLst>
        </c:ser>
        <c:ser>
          <c:idx val="3"/>
          <c:order val="2"/>
          <c:tx>
            <c:v>USBM RI 8485 Coal Mines (Highwall)</c:v>
          </c:tx>
          <c:spPr>
            <a:ln w="12700" cap="rnd" cmpd="sng">
              <a:solidFill>
                <a:srgbClr val="7030A0"/>
              </a:solidFill>
              <a:prstDash val="sysDot"/>
              <a:round/>
            </a:ln>
            <a:effectLst/>
          </c:spPr>
          <c:marker>
            <c:symbol val="none"/>
          </c:marker>
          <c:xVal>
            <c:numRef>
              <c:f>AirBlast!$N$2:$N$3</c:f>
              <c:numCache>
                <c:formatCode>0</c:formatCode>
                <c:ptCount val="2"/>
                <c:pt idx="0">
                  <c:v>6</c:v>
                </c:pt>
                <c:pt idx="1">
                  <c:v>600</c:v>
                </c:pt>
              </c:numCache>
              <c:extLst xmlns:c15="http://schemas.microsoft.com/office/drawing/2012/chart"/>
            </c:numRef>
          </c:xVal>
          <c:yVal>
            <c:numRef>
              <c:f>AirBlast!$N$11:$O$11</c:f>
              <c:numCache>
                <c:formatCode>#,##0.0000</c:formatCode>
                <c:ptCount val="2"/>
                <c:pt idx="0">
                  <c:v>3.9334671426716844E-2</c:v>
                </c:pt>
                <c:pt idx="1">
                  <c:v>1.0346072722541514E-3</c:v>
                </c:pt>
              </c:numCache>
              <c:extLst xmlns:c15="http://schemas.microsoft.com/office/drawing/2012/chart"/>
            </c:numRef>
          </c:yVal>
          <c:smooth val="0"/>
          <c:extLst>
            <c:ext xmlns:c16="http://schemas.microsoft.com/office/drawing/2014/chart" uri="{C3380CC4-5D6E-409C-BE32-E72D297353CC}">
              <c16:uniqueId val="{00000005-F76B-4A91-94A6-68992D2068E9}"/>
            </c:ext>
          </c:extLst>
        </c:ser>
        <c:ser>
          <c:idx val="1"/>
          <c:order val="3"/>
          <c:tx>
            <c:v>Upper Bound Line (95% Confidence)</c:v>
          </c:tx>
          <c:spPr>
            <a:ln w="25400" cap="rnd">
              <a:solidFill>
                <a:srgbClr val="C00000"/>
              </a:solidFill>
              <a:prstDash val="dash"/>
              <a:round/>
            </a:ln>
            <a:effectLst/>
          </c:spPr>
          <c:marker>
            <c:symbol val="none"/>
          </c:marker>
          <c:xVal>
            <c:numRef>
              <c:f>AirBlast!$N$2:$N$3</c:f>
              <c:numCache>
                <c:formatCode>0</c:formatCode>
                <c:ptCount val="2"/>
                <c:pt idx="0">
                  <c:v>6</c:v>
                </c:pt>
                <c:pt idx="1">
                  <c:v>600</c:v>
                </c:pt>
              </c:numCache>
            </c:numRef>
          </c:xVal>
          <c:yVal>
            <c:numRef>
              <c:f>AirBlast!$N$6:$N$7</c:f>
              <c:numCache>
                <c:formatCode>#,##0.0000</c:formatCode>
                <c:ptCount val="2"/>
                <c:pt idx="0">
                  <c:v>9.8423088575857895E-2</c:v>
                </c:pt>
                <c:pt idx="1">
                  <c:v>1.6893585164698441E-3</c:v>
                </c:pt>
              </c:numCache>
            </c:numRef>
          </c:yVal>
          <c:smooth val="0"/>
          <c:extLst>
            <c:ext xmlns:c16="http://schemas.microsoft.com/office/drawing/2014/chart" uri="{C3380CC4-5D6E-409C-BE32-E72D297353CC}">
              <c16:uniqueId val="{00000006-F76B-4A91-94A6-68992D2068E9}"/>
            </c:ext>
          </c:extLst>
        </c:ser>
        <c:dLbls>
          <c:showLegendKey val="0"/>
          <c:showVal val="0"/>
          <c:showCatName val="0"/>
          <c:showSerName val="0"/>
          <c:showPercent val="0"/>
          <c:showBubbleSize val="0"/>
        </c:dLbls>
        <c:axId val="503000136"/>
        <c:axId val="502999744"/>
        <c:extLst/>
      </c:scatterChart>
      <c:valAx>
        <c:axId val="503000136"/>
        <c:scaling>
          <c:logBase val="10"/>
          <c:orientation val="minMax"/>
        </c:scaling>
        <c:delete val="0"/>
        <c:axPos val="b"/>
        <c:majorGridlines>
          <c:spPr>
            <a:ln w="9525" cap="flat" cmpd="sng" algn="ctr">
              <a:solidFill>
                <a:schemeClr val="tx1">
                  <a:lumMod val="50000"/>
                  <a:lumOff val="50000"/>
                </a:schemeClr>
              </a:solidFill>
              <a:round/>
            </a:ln>
            <a:effectLst/>
          </c:spPr>
        </c:majorGridlines>
        <c:minorGridlines>
          <c:spPr>
            <a:ln w="9525" cap="flat" cmpd="sng" algn="ctr">
              <a:solidFill>
                <a:schemeClr val="bg1">
                  <a:lumMod val="75000"/>
                </a:schemeClr>
              </a:solidFill>
              <a:round/>
            </a:ln>
            <a:effectLst/>
          </c:spPr>
        </c:minorGridlines>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SD</a:t>
                </a:r>
                <a:r>
                  <a:rPr lang="en-US" b="1" baseline="-25000"/>
                  <a:t>3</a:t>
                </a:r>
                <a:r>
                  <a:rPr lang="en-US" b="1" baseline="0"/>
                  <a:t> (</a:t>
                </a:r>
                <a:r>
                  <a:rPr lang="en-US" b="1"/>
                  <a:t>ft/lbs</a:t>
                </a:r>
                <a:r>
                  <a:rPr lang="en-US" b="1" baseline="30000"/>
                  <a:t>1/3</a:t>
                </a:r>
                <a:r>
                  <a:rPr lang="en-US" b="1" baseline="0"/>
                  <a:t>)</a:t>
                </a:r>
              </a:p>
            </c:rich>
          </c:tx>
          <c:layout>
            <c:manualLayout>
              <c:xMode val="edge"/>
              <c:yMode val="edge"/>
              <c:x val="0.44471846841096108"/>
              <c:y val="0.94483832172275295"/>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999744"/>
        <c:crossesAt val="1.0000000000000003E-4"/>
        <c:crossBetween val="midCat"/>
      </c:valAx>
      <c:valAx>
        <c:axId val="502999744"/>
        <c:scaling>
          <c:logBase val="10"/>
          <c:orientation val="minMax"/>
          <c:max val="0.1"/>
        </c:scaling>
        <c:delete val="0"/>
        <c:axPos val="l"/>
        <c:majorGridlines>
          <c:spPr>
            <a:ln w="9525" cap="flat" cmpd="sng" algn="ctr">
              <a:solidFill>
                <a:schemeClr val="tx1">
                  <a:lumMod val="50000"/>
                  <a:lumOff val="50000"/>
                </a:schemeClr>
              </a:solidFill>
              <a:round/>
            </a:ln>
            <a:effectLst/>
          </c:spPr>
        </c:majorGridlines>
        <c:minorGridlines>
          <c:spPr>
            <a:ln w="9525" cap="flat" cmpd="sng" algn="ctr">
              <a:solidFill>
                <a:schemeClr val="bg1">
                  <a:lumMod val="75000"/>
                </a:schemeClr>
              </a:solidFill>
              <a:round/>
            </a:ln>
            <a:effectLst/>
          </c:spPr>
        </c:min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baseline="0"/>
                  <a:t>AB (psi</a:t>
                </a:r>
                <a:r>
                  <a:rPr lang="en-US" b="1"/>
                  <a:t>)</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3000136"/>
        <c:crosses val="autoZero"/>
        <c:crossBetween val="midCat"/>
      </c:valAx>
      <c:spPr>
        <a:solidFill>
          <a:schemeClr val="bg1"/>
        </a:solidFill>
        <a:ln w="9525">
          <a:solidFill>
            <a:schemeClr val="tx1"/>
          </a:solidFill>
        </a:ln>
        <a:effectLst/>
      </c:spPr>
    </c:plotArea>
    <c:legend>
      <c:legendPos val="tr"/>
      <c:layout>
        <c:manualLayout>
          <c:xMode val="edge"/>
          <c:yMode val="edge"/>
          <c:x val="0.17195981840722113"/>
          <c:y val="0.74198040695556833"/>
          <c:w val="0.39732957803680219"/>
          <c:h val="0.13121842602292738"/>
        </c:manualLayout>
      </c:layout>
      <c:overlay val="0"/>
      <c:spPr>
        <a:solidFill>
          <a:schemeClr val="bg1"/>
        </a:solidFill>
        <a:ln>
          <a:solidFill>
            <a:schemeClr val="bg1">
              <a:lumMod val="75000"/>
            </a:schemeClr>
          </a:solidFill>
        </a:ln>
        <a:effectLst>
          <a:outerShdw blurRad="50800" dist="38100" dir="18900000" algn="bl" rotWithShape="0">
            <a:prstClr val="black">
              <a:alpha val="40000"/>
            </a:prstClr>
          </a:outerShdw>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Peak Particle</a:t>
            </a:r>
            <a:r>
              <a:rPr lang="en-US" b="1" baseline="0"/>
              <a:t> Velocity (PPV) vs. Square Root Scaled Distance (SD</a:t>
            </a:r>
            <a:r>
              <a:rPr lang="en-US" b="1" baseline="-25000"/>
              <a:t>2</a:t>
            </a:r>
            <a:r>
              <a:rPr lang="en-US" b="1" baseline="0"/>
              <a:t>)</a:t>
            </a:r>
            <a:endParaRPr lang="en-US" b="1"/>
          </a:p>
        </c:rich>
      </c:tx>
      <c:layout>
        <c:manualLayout>
          <c:xMode val="edge"/>
          <c:yMode val="edge"/>
          <c:x val="0.15159746793844492"/>
          <c:y val="4.4188280499519693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07721027447689"/>
          <c:y val="0.12571452343673178"/>
          <c:w val="0.76084451516332141"/>
          <c:h val="0.76972569902750598"/>
        </c:manualLayout>
      </c:layout>
      <c:scatterChart>
        <c:scatterStyle val="lineMarker"/>
        <c:varyColors val="0"/>
        <c:ser>
          <c:idx val="0"/>
          <c:order val="0"/>
          <c:tx>
            <c:v>Blast Event Data</c:v>
          </c:tx>
          <c:spPr>
            <a:ln w="25400" cap="rnd">
              <a:noFill/>
              <a:round/>
            </a:ln>
            <a:effectLst/>
          </c:spPr>
          <c:marker>
            <c:symbol val="diamond"/>
            <c:size val="6"/>
            <c:spPr>
              <a:solidFill>
                <a:srgbClr val="FFC000"/>
              </a:solidFill>
              <a:ln w="9525">
                <a:solidFill>
                  <a:schemeClr val="tx1"/>
                </a:solidFill>
              </a:ln>
              <a:effectLst/>
            </c:spPr>
          </c:marker>
          <c:trendline>
            <c:name>Best Fit Line</c:name>
            <c:spPr>
              <a:ln w="25400" cap="rnd">
                <a:solidFill>
                  <a:schemeClr val="tx1"/>
                </a:solidFill>
                <a:prstDash val="solid"/>
              </a:ln>
              <a:effectLst/>
            </c:spPr>
            <c:trendlineType val="power"/>
            <c:dispRSqr val="1"/>
            <c:dispEq val="0"/>
            <c:trendlineLbl>
              <c:layout>
                <c:manualLayout>
                  <c:x val="1.1553064040202019E-3"/>
                  <c:y val="-0.49173205784806984"/>
                </c:manualLayout>
              </c:layout>
              <c:numFmt formatCode="General" sourceLinked="0"/>
              <c:spPr>
                <a:solidFill>
                  <a:schemeClr val="bg1"/>
                </a:solidFill>
                <a:ln>
                  <a:solidFill>
                    <a:schemeClr val="bg1">
                      <a:lumMod val="75000"/>
                    </a:schemeClr>
                  </a:solidFill>
                </a:ln>
                <a:effectLst>
                  <a:outerShdw blurRad="50800" dist="38100" dir="8100000" algn="tr" rotWithShape="0">
                    <a:prstClr val="black">
                      <a:alpha val="40000"/>
                    </a:prstClr>
                  </a:outerShdw>
                </a:effectLst>
              </c:spPr>
              <c:txPr>
                <a:bodyPr rot="0" spcFirstLastPara="1" vertOverflow="ellipsis" vert="horz" wrap="square" anchor="t"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rendlineLbl>
          </c:trendline>
          <c:xVal>
            <c:numRef>
              <c:f>[0]!Metric_SD2</c:f>
              <c:numCache>
                <c:formatCode>0.00</c:formatCode>
                <c:ptCount val="184"/>
                <c:pt idx="0">
                  <c:v>1.0957023143534443</c:v>
                </c:pt>
                <c:pt idx="1">
                  <c:v>7.8671426170577297</c:v>
                </c:pt>
                <c:pt idx="2">
                  <c:v>14.901551475206844</c:v>
                </c:pt>
                <c:pt idx="3">
                  <c:v>21.804476055633543</c:v>
                </c:pt>
                <c:pt idx="4">
                  <c:v>26.603652192501627</c:v>
                </c:pt>
                <c:pt idx="5">
                  <c:v>63.638390417648047</c:v>
                </c:pt>
                <c:pt idx="6">
                  <c:v>71.746587543863541</c:v>
                </c:pt>
                <c:pt idx="7">
                  <c:v>1.1926165899868895</c:v>
                </c:pt>
                <c:pt idx="8">
                  <c:v>7.7281555031150431</c:v>
                </c:pt>
                <c:pt idx="9">
                  <c:v>16.959007909613565</c:v>
                </c:pt>
                <c:pt idx="10">
                  <c:v>26.428383634109466</c:v>
                </c:pt>
                <c:pt idx="11">
                  <c:v>30.888769680660435</c:v>
                </c:pt>
                <c:pt idx="12">
                  <c:v>40.31044074155686</c:v>
                </c:pt>
                <c:pt idx="13">
                  <c:v>52.904471931818406</c:v>
                </c:pt>
                <c:pt idx="14">
                  <c:v>13.882057107447391</c:v>
                </c:pt>
                <c:pt idx="15">
                  <c:v>22.898238527748276</c:v>
                </c:pt>
                <c:pt idx="16">
                  <c:v>28.956730804881673</c:v>
                </c:pt>
                <c:pt idx="17">
                  <c:v>34.01342514642608</c:v>
                </c:pt>
                <c:pt idx="18">
                  <c:v>81.861202736700079</c:v>
                </c:pt>
                <c:pt idx="19">
                  <c:v>9.4259065005080078</c:v>
                </c:pt>
                <c:pt idx="20">
                  <c:v>18.851813001016016</c:v>
                </c:pt>
                <c:pt idx="21">
                  <c:v>30.158140242786981</c:v>
                </c:pt>
                <c:pt idx="22">
                  <c:v>37.965456738157251</c:v>
                </c:pt>
                <c:pt idx="23">
                  <c:v>45.225308967083876</c:v>
                </c:pt>
                <c:pt idx="24">
                  <c:v>15.090971518490091</c:v>
                </c:pt>
                <c:pt idx="25">
                  <c:v>20.089558299062517</c:v>
                </c:pt>
                <c:pt idx="26">
                  <c:v>12.567875334010678</c:v>
                </c:pt>
                <c:pt idx="27">
                  <c:v>18.708996235856802</c:v>
                </c:pt>
                <c:pt idx="28">
                  <c:v>32.657433633073197</c:v>
                </c:pt>
                <c:pt idx="29">
                  <c:v>45.225308967083876</c:v>
                </c:pt>
                <c:pt idx="30">
                  <c:v>43.987563669037364</c:v>
                </c:pt>
                <c:pt idx="31">
                  <c:v>6.2839376670053388</c:v>
                </c:pt>
                <c:pt idx="32">
                  <c:v>12.567875334010678</c:v>
                </c:pt>
                <c:pt idx="33">
                  <c:v>20.898853301631387</c:v>
                </c:pt>
                <c:pt idx="34">
                  <c:v>33.490531429835265</c:v>
                </c:pt>
                <c:pt idx="35">
                  <c:v>74.383731853756373</c:v>
                </c:pt>
                <c:pt idx="36">
                  <c:v>2.1019366907158341</c:v>
                </c:pt>
                <c:pt idx="37">
                  <c:v>7.0064556357194467</c:v>
                </c:pt>
                <c:pt idx="38">
                  <c:v>16.348396483345379</c:v>
                </c:pt>
                <c:pt idx="39">
                  <c:v>28.726468106449733</c:v>
                </c:pt>
                <c:pt idx="40">
                  <c:v>51.380674661942606</c:v>
                </c:pt>
                <c:pt idx="41">
                  <c:v>60.722615509568541</c:v>
                </c:pt>
                <c:pt idx="42">
                  <c:v>2.2497332071611069</c:v>
                </c:pt>
                <c:pt idx="43">
                  <c:v>7.1120598161867257</c:v>
                </c:pt>
                <c:pt idx="44">
                  <c:v>12.192102542034387</c:v>
                </c:pt>
                <c:pt idx="45">
                  <c:v>21.868374400791836</c:v>
                </c:pt>
                <c:pt idx="46">
                  <c:v>34.68943461364546</c:v>
                </c:pt>
                <c:pt idx="47">
                  <c:v>58.154393871132271</c:v>
                </c:pt>
                <c:pt idx="48">
                  <c:v>67.830665729889731</c:v>
                </c:pt>
                <c:pt idx="49">
                  <c:v>6.2537366245814097</c:v>
                </c:pt>
                <c:pt idx="50">
                  <c:v>16.818761376715152</c:v>
                </c:pt>
                <c:pt idx="51">
                  <c:v>25.014946498325639</c:v>
                </c:pt>
                <c:pt idx="52">
                  <c:v>40.03338975584311</c:v>
                </c:pt>
                <c:pt idx="53">
                  <c:v>76.276636102849011</c:v>
                </c:pt>
                <c:pt idx="54">
                  <c:v>16.818761376715152</c:v>
                </c:pt>
                <c:pt idx="55">
                  <c:v>19.519238555511674</c:v>
                </c:pt>
                <c:pt idx="56">
                  <c:v>28.757713114552391</c:v>
                </c:pt>
                <c:pt idx="57">
                  <c:v>34.016537094314032</c:v>
                </c:pt>
                <c:pt idx="58">
                  <c:v>76.276636102849011</c:v>
                </c:pt>
                <c:pt idx="59">
                  <c:v>2.2242414090998821</c:v>
                </c:pt>
                <c:pt idx="60">
                  <c:v>12.522479133232336</c:v>
                </c:pt>
                <c:pt idx="61">
                  <c:v>13.79029673641927</c:v>
                </c:pt>
                <c:pt idx="62">
                  <c:v>19.061748875985991</c:v>
                </c:pt>
                <c:pt idx="63">
                  <c:v>30.85022834421537</c:v>
                </c:pt>
                <c:pt idx="64">
                  <c:v>47.821190295647469</c:v>
                </c:pt>
                <c:pt idx="65">
                  <c:v>50.045431704747351</c:v>
                </c:pt>
                <c:pt idx="66">
                  <c:v>61.166638750246769</c:v>
                </c:pt>
                <c:pt idx="67">
                  <c:v>4.9015126275201517</c:v>
                </c:pt>
                <c:pt idx="68">
                  <c:v>2.6784222008306839</c:v>
                </c:pt>
                <c:pt idx="69">
                  <c:v>10.25835702918152</c:v>
                </c:pt>
                <c:pt idx="70">
                  <c:v>14.195637664402627</c:v>
                </c:pt>
                <c:pt idx="71">
                  <c:v>35.167683496906882</c:v>
                </c:pt>
                <c:pt idx="72">
                  <c:v>58.469956644133838</c:v>
                </c:pt>
                <c:pt idx="73">
                  <c:v>77.218912049948614</c:v>
                </c:pt>
                <c:pt idx="74">
                  <c:v>74.540489849117947</c:v>
                </c:pt>
                <c:pt idx="75">
                  <c:v>2.5787351149234032</c:v>
                </c:pt>
                <c:pt idx="76">
                  <c:v>9.7476187344104641</c:v>
                </c:pt>
                <c:pt idx="77">
                  <c:v>15.910795659077397</c:v>
                </c:pt>
                <c:pt idx="78">
                  <c:v>33.910366761242749</c:v>
                </c:pt>
                <c:pt idx="79">
                  <c:v>49.150691290440065</c:v>
                </c:pt>
                <c:pt idx="80">
                  <c:v>63.333734422518781</c:v>
                </c:pt>
                <c:pt idx="81">
                  <c:v>78.806145112059198</c:v>
                </c:pt>
                <c:pt idx="82">
                  <c:v>2.4330108349931923</c:v>
                </c:pt>
                <c:pt idx="83">
                  <c:v>9.1967809562742655</c:v>
                </c:pt>
                <c:pt idx="84">
                  <c:v>15.011676851907994</c:v>
                </c:pt>
                <c:pt idx="85">
                  <c:v>31.994092480160479</c:v>
                </c:pt>
                <c:pt idx="86">
                  <c:v>46.373186514970243</c:v>
                </c:pt>
                <c:pt idx="87">
                  <c:v>59.973717082582183</c:v>
                </c:pt>
                <c:pt idx="88">
                  <c:v>74.571782092541341</c:v>
                </c:pt>
                <c:pt idx="89">
                  <c:v>77.491395094533175</c:v>
                </c:pt>
                <c:pt idx="90">
                  <c:v>2.4312547821949457</c:v>
                </c:pt>
                <c:pt idx="91">
                  <c:v>7.7070776595579771</c:v>
                </c:pt>
                <c:pt idx="92">
                  <c:v>13.517776589003896</c:v>
                </c:pt>
                <c:pt idx="93">
                  <c:v>30.487934968724616</c:v>
                </c:pt>
                <c:pt idx="94">
                  <c:v>44.856650731496742</c:v>
                </c:pt>
                <c:pt idx="95">
                  <c:v>58.228552033568945</c:v>
                </c:pt>
                <c:pt idx="96">
                  <c:v>73.034893657136166</c:v>
                </c:pt>
                <c:pt idx="97">
                  <c:v>93.578996566683443</c:v>
                </c:pt>
                <c:pt idx="98">
                  <c:v>1.1429021855591484</c:v>
                </c:pt>
                <c:pt idx="99">
                  <c:v>7.2459998564450014</c:v>
                </c:pt>
                <c:pt idx="100">
                  <c:v>15.680617985871518</c:v>
                </c:pt>
                <c:pt idx="101">
                  <c:v>27.749665065376124</c:v>
                </c:pt>
                <c:pt idx="102">
                  <c:v>41.030188461573431</c:v>
                </c:pt>
                <c:pt idx="103">
                  <c:v>42.241664778266127</c:v>
                </c:pt>
                <c:pt idx="104">
                  <c:v>51.887759224385334</c:v>
                </c:pt>
                <c:pt idx="105">
                  <c:v>28.961141382068821</c:v>
                </c:pt>
                <c:pt idx="106">
                  <c:v>30.17261769876152</c:v>
                </c:pt>
                <c:pt idx="107">
                  <c:v>35.201387315221773</c:v>
                </c:pt>
                <c:pt idx="108">
                  <c:v>37.418617555206524</c:v>
                </c:pt>
                <c:pt idx="109">
                  <c:v>42.241664778266127</c:v>
                </c:pt>
                <c:pt idx="110">
                  <c:v>2.3858356891013881</c:v>
                </c:pt>
                <c:pt idx="111">
                  <c:v>6.6978506501378412</c:v>
                </c:pt>
                <c:pt idx="112">
                  <c:v>13.636473709267566</c:v>
                </c:pt>
                <c:pt idx="113">
                  <c:v>23.68324968447433</c:v>
                </c:pt>
                <c:pt idx="114">
                  <c:v>29.330457095374864</c:v>
                </c:pt>
                <c:pt idx="115">
                  <c:v>81.337297437621629</c:v>
                </c:pt>
                <c:pt idx="116">
                  <c:v>2.3775001282375912</c:v>
                </c:pt>
                <c:pt idx="117">
                  <c:v>4.8342502607497684</c:v>
                </c:pt>
                <c:pt idx="118">
                  <c:v>11.147833934625149</c:v>
                </c:pt>
                <c:pt idx="119">
                  <c:v>22.242834533067242</c:v>
                </c:pt>
                <c:pt idx="120">
                  <c:v>30.696168322356456</c:v>
                </c:pt>
                <c:pt idx="121">
                  <c:v>85.088087922814239</c:v>
                </c:pt>
                <c:pt idx="122">
                  <c:v>2.4763319383591882</c:v>
                </c:pt>
                <c:pt idx="123">
                  <c:v>6.4879896785010738</c:v>
                </c:pt>
                <c:pt idx="124">
                  <c:v>12.678819524399044</c:v>
                </c:pt>
                <c:pt idx="125">
                  <c:v>23.153703623658409</c:v>
                </c:pt>
                <c:pt idx="126">
                  <c:v>33.851457597370107</c:v>
                </c:pt>
                <c:pt idx="127">
                  <c:v>42.048116313339015</c:v>
                </c:pt>
                <c:pt idx="128">
                  <c:v>51.012437930199283</c:v>
                </c:pt>
                <c:pt idx="129">
                  <c:v>74.389011428310013</c:v>
                </c:pt>
                <c:pt idx="130">
                  <c:v>91.772861635591511</c:v>
                </c:pt>
                <c:pt idx="131">
                  <c:v>1.0899672817587922</c:v>
                </c:pt>
                <c:pt idx="132">
                  <c:v>11.510054495372847</c:v>
                </c:pt>
                <c:pt idx="133">
                  <c:v>18.398647716088412</c:v>
                </c:pt>
                <c:pt idx="134">
                  <c:v>29.930501557096434</c:v>
                </c:pt>
                <c:pt idx="135">
                  <c:v>42.595921371133599</c:v>
                </c:pt>
                <c:pt idx="136">
                  <c:v>43.729487344162742</c:v>
                </c:pt>
                <c:pt idx="137">
                  <c:v>52.928811202206944</c:v>
                </c:pt>
                <c:pt idx="138">
                  <c:v>27.619770919767795</c:v>
                </c:pt>
                <c:pt idx="139">
                  <c:v>29.908702211461257</c:v>
                </c:pt>
                <c:pt idx="140">
                  <c:v>34.530163486118539</c:v>
                </c:pt>
                <c:pt idx="141">
                  <c:v>36.840894123447171</c:v>
                </c:pt>
                <c:pt idx="142">
                  <c:v>42.595921371133599</c:v>
                </c:pt>
                <c:pt idx="143">
                  <c:v>23.020108990745694</c:v>
                </c:pt>
                <c:pt idx="144">
                  <c:v>24.17547430941001</c:v>
                </c:pt>
                <c:pt idx="145">
                  <c:v>28.775136238432115</c:v>
                </c:pt>
                <c:pt idx="146">
                  <c:v>34.530163486118539</c:v>
                </c:pt>
                <c:pt idx="147">
                  <c:v>38.105256170287376</c:v>
                </c:pt>
                <c:pt idx="148">
                  <c:v>1.1067867615495759</c:v>
                </c:pt>
                <c:pt idx="149">
                  <c:v>14.233277753527545</c:v>
                </c:pt>
                <c:pt idx="150">
                  <c:v>21.028948469441939</c:v>
                </c:pt>
                <c:pt idx="151">
                  <c:v>31.322065351852991</c:v>
                </c:pt>
                <c:pt idx="152">
                  <c:v>45.533207370149547</c:v>
                </c:pt>
                <c:pt idx="153">
                  <c:v>43.231090906126433</c:v>
                </c:pt>
                <c:pt idx="154">
                  <c:v>53.745565140847397</c:v>
                </c:pt>
                <c:pt idx="155">
                  <c:v>5.1940508556026517</c:v>
                </c:pt>
                <c:pt idx="156">
                  <c:v>1.4769812859533609</c:v>
                </c:pt>
                <c:pt idx="157">
                  <c:v>10.388101711205303</c:v>
                </c:pt>
                <c:pt idx="158">
                  <c:v>19.496152974584362</c:v>
                </c:pt>
                <c:pt idx="159">
                  <c:v>31.188921488381805</c:v>
                </c:pt>
                <c:pt idx="160">
                  <c:v>37.687639146576593</c:v>
                </c:pt>
                <c:pt idx="161">
                  <c:v>51.989741265558308</c:v>
                </c:pt>
                <c:pt idx="162">
                  <c:v>71.485894240142656</c:v>
                </c:pt>
                <c:pt idx="163">
                  <c:v>89.677380412134895</c:v>
                </c:pt>
                <c:pt idx="164">
                  <c:v>3.2090726777282339</c:v>
                </c:pt>
                <c:pt idx="165">
                  <c:v>7.4946064435551785</c:v>
                </c:pt>
                <c:pt idx="166">
                  <c:v>15.009523473678257</c:v>
                </c:pt>
                <c:pt idx="167">
                  <c:v>24.677362679998758</c:v>
                </c:pt>
                <c:pt idx="168">
                  <c:v>30.039357533924413</c:v>
                </c:pt>
                <c:pt idx="169">
                  <c:v>41.819497743306542</c:v>
                </c:pt>
                <c:pt idx="170">
                  <c:v>58.981943393182213</c:v>
                </c:pt>
                <c:pt idx="171">
                  <c:v>2.0624524595547911</c:v>
                </c:pt>
                <c:pt idx="172">
                  <c:v>15.035278430154426</c:v>
                </c:pt>
                <c:pt idx="173">
                  <c:v>20.212034103636952</c:v>
                </c:pt>
                <c:pt idx="174">
                  <c:v>25.038172858995161</c:v>
                </c:pt>
                <c:pt idx="175">
                  <c:v>30.48304735221981</c:v>
                </c:pt>
                <c:pt idx="176">
                  <c:v>63.152294311567701</c:v>
                </c:pt>
                <c:pt idx="177">
                  <c:v>68.72091595236563</c:v>
                </c:pt>
                <c:pt idx="178">
                  <c:v>5.9554872903615301</c:v>
                </c:pt>
                <c:pt idx="179">
                  <c:v>12.331361918866227</c:v>
                </c:pt>
                <c:pt idx="180">
                  <c:v>20.996012055039277</c:v>
                </c:pt>
                <c:pt idx="181">
                  <c:v>27.138338162353325</c:v>
                </c:pt>
                <c:pt idx="182">
                  <c:v>65.18339226430993</c:v>
                </c:pt>
                <c:pt idx="183">
                  <c:v>76.463785837818236</c:v>
                </c:pt>
              </c:numCache>
            </c:numRef>
          </c:xVal>
          <c:yVal>
            <c:numRef>
              <c:f>[0]!Metric_PPV</c:f>
              <c:numCache>
                <c:formatCode>0.00</c:formatCode>
                <c:ptCount val="184"/>
                <c:pt idx="0">
                  <c:v>129.03200000000001</c:v>
                </c:pt>
                <c:pt idx="1">
                  <c:v>113.792</c:v>
                </c:pt>
                <c:pt idx="2">
                  <c:v>45.72</c:v>
                </c:pt>
                <c:pt idx="3">
                  <c:v>17.526</c:v>
                </c:pt>
                <c:pt idx="4">
                  <c:v>9.652000000000001</c:v>
                </c:pt>
                <c:pt idx="5">
                  <c:v>1.27</c:v>
                </c:pt>
                <c:pt idx="6">
                  <c:v>0.76200000000000001</c:v>
                </c:pt>
                <c:pt idx="7">
                  <c:v>176.78399999999999</c:v>
                </c:pt>
                <c:pt idx="8">
                  <c:v>40.64</c:v>
                </c:pt>
                <c:pt idx="9">
                  <c:v>10.921999999999999</c:v>
                </c:pt>
                <c:pt idx="10">
                  <c:v>6.8580000000000005</c:v>
                </c:pt>
                <c:pt idx="11">
                  <c:v>6.0960000000000001</c:v>
                </c:pt>
                <c:pt idx="12">
                  <c:v>5.08</c:v>
                </c:pt>
                <c:pt idx="13">
                  <c:v>2.286</c:v>
                </c:pt>
                <c:pt idx="14">
                  <c:v>24.13</c:v>
                </c:pt>
                <c:pt idx="15">
                  <c:v>11.43</c:v>
                </c:pt>
                <c:pt idx="16">
                  <c:v>6.6039999999999992</c:v>
                </c:pt>
                <c:pt idx="17">
                  <c:v>7.1120000000000001</c:v>
                </c:pt>
                <c:pt idx="18">
                  <c:v>1.524</c:v>
                </c:pt>
                <c:pt idx="19">
                  <c:v>23.876000000000001</c:v>
                </c:pt>
                <c:pt idx="20">
                  <c:v>8.3820000000000014</c:v>
                </c:pt>
                <c:pt idx="21">
                  <c:v>12.446</c:v>
                </c:pt>
                <c:pt idx="22">
                  <c:v>4.5720000000000001</c:v>
                </c:pt>
                <c:pt idx="23">
                  <c:v>3.81</c:v>
                </c:pt>
                <c:pt idx="24">
                  <c:v>25.908000000000001</c:v>
                </c:pt>
                <c:pt idx="25">
                  <c:v>12.954000000000001</c:v>
                </c:pt>
                <c:pt idx="26">
                  <c:v>19.304000000000002</c:v>
                </c:pt>
                <c:pt idx="27">
                  <c:v>9.1440000000000001</c:v>
                </c:pt>
                <c:pt idx="28">
                  <c:v>12.446</c:v>
                </c:pt>
                <c:pt idx="29">
                  <c:v>5.5880000000000001</c:v>
                </c:pt>
                <c:pt idx="30">
                  <c:v>6.35</c:v>
                </c:pt>
                <c:pt idx="31">
                  <c:v>101.6</c:v>
                </c:pt>
                <c:pt idx="32">
                  <c:v>14.224</c:v>
                </c:pt>
                <c:pt idx="33">
                  <c:v>11.683999999999999</c:v>
                </c:pt>
                <c:pt idx="34">
                  <c:v>5.5880000000000001</c:v>
                </c:pt>
                <c:pt idx="35">
                  <c:v>2.54</c:v>
                </c:pt>
                <c:pt idx="36">
                  <c:v>52.831999999999994</c:v>
                </c:pt>
                <c:pt idx="37">
                  <c:v>41.655999999999999</c:v>
                </c:pt>
                <c:pt idx="38">
                  <c:v>10.414</c:v>
                </c:pt>
                <c:pt idx="39">
                  <c:v>4.0640000000000001</c:v>
                </c:pt>
                <c:pt idx="40">
                  <c:v>1.524</c:v>
                </c:pt>
                <c:pt idx="41">
                  <c:v>1.27</c:v>
                </c:pt>
                <c:pt idx="42">
                  <c:v>49.783999999999999</c:v>
                </c:pt>
                <c:pt idx="43">
                  <c:v>32.512</c:v>
                </c:pt>
                <c:pt idx="44">
                  <c:v>12.7</c:v>
                </c:pt>
                <c:pt idx="45">
                  <c:v>8.1280000000000001</c:v>
                </c:pt>
                <c:pt idx="46">
                  <c:v>4.0640000000000001</c:v>
                </c:pt>
                <c:pt idx="47">
                  <c:v>2.286</c:v>
                </c:pt>
                <c:pt idx="48">
                  <c:v>1.016</c:v>
                </c:pt>
                <c:pt idx="49">
                  <c:v>26.669999999999998</c:v>
                </c:pt>
                <c:pt idx="50">
                  <c:v>10.414</c:v>
                </c:pt>
                <c:pt idx="51">
                  <c:v>7.1120000000000001</c:v>
                </c:pt>
                <c:pt idx="52">
                  <c:v>4.0640000000000001</c:v>
                </c:pt>
                <c:pt idx="53">
                  <c:v>1.27</c:v>
                </c:pt>
                <c:pt idx="54">
                  <c:v>18.795999999999999</c:v>
                </c:pt>
                <c:pt idx="55">
                  <c:v>5.5880000000000001</c:v>
                </c:pt>
                <c:pt idx="56">
                  <c:v>3.556</c:v>
                </c:pt>
                <c:pt idx="57">
                  <c:v>7.8740000000000006</c:v>
                </c:pt>
                <c:pt idx="58">
                  <c:v>1.27</c:v>
                </c:pt>
                <c:pt idx="59">
                  <c:v>106.67999999999999</c:v>
                </c:pt>
                <c:pt idx="60">
                  <c:v>20.065999999999999</c:v>
                </c:pt>
                <c:pt idx="61">
                  <c:v>16.510000000000002</c:v>
                </c:pt>
                <c:pt idx="62">
                  <c:v>11.43</c:v>
                </c:pt>
                <c:pt idx="63">
                  <c:v>4.0640000000000001</c:v>
                </c:pt>
                <c:pt idx="64">
                  <c:v>3.81</c:v>
                </c:pt>
                <c:pt idx="65">
                  <c:v>2.794</c:v>
                </c:pt>
                <c:pt idx="66">
                  <c:v>2.54</c:v>
                </c:pt>
                <c:pt idx="67">
                  <c:v>46.735999999999997</c:v>
                </c:pt>
                <c:pt idx="68">
                  <c:v>106.67999999999999</c:v>
                </c:pt>
                <c:pt idx="69">
                  <c:v>32.512</c:v>
                </c:pt>
                <c:pt idx="70">
                  <c:v>11.683999999999999</c:v>
                </c:pt>
                <c:pt idx="71">
                  <c:v>4.0640000000000001</c:v>
                </c:pt>
                <c:pt idx="72">
                  <c:v>2.794</c:v>
                </c:pt>
                <c:pt idx="73">
                  <c:v>1.524</c:v>
                </c:pt>
                <c:pt idx="74">
                  <c:v>0.76200000000000001</c:v>
                </c:pt>
                <c:pt idx="75">
                  <c:v>100.584</c:v>
                </c:pt>
                <c:pt idx="76">
                  <c:v>79.248000000000005</c:v>
                </c:pt>
                <c:pt idx="77">
                  <c:v>36.576000000000001</c:v>
                </c:pt>
                <c:pt idx="78">
                  <c:v>12.954000000000001</c:v>
                </c:pt>
                <c:pt idx="79">
                  <c:v>10.414</c:v>
                </c:pt>
                <c:pt idx="80">
                  <c:v>4.8260000000000005</c:v>
                </c:pt>
                <c:pt idx="81">
                  <c:v>4.8260000000000005</c:v>
                </c:pt>
                <c:pt idx="82">
                  <c:v>129.03200000000001</c:v>
                </c:pt>
                <c:pt idx="83">
                  <c:v>52.831999999999994</c:v>
                </c:pt>
                <c:pt idx="84">
                  <c:v>43.687999999999995</c:v>
                </c:pt>
                <c:pt idx="85">
                  <c:v>11.43</c:v>
                </c:pt>
                <c:pt idx="86">
                  <c:v>10.414</c:v>
                </c:pt>
                <c:pt idx="87">
                  <c:v>4.3179999999999996</c:v>
                </c:pt>
                <c:pt idx="88">
                  <c:v>4.5720000000000001</c:v>
                </c:pt>
                <c:pt idx="89">
                  <c:v>3.81</c:v>
                </c:pt>
                <c:pt idx="90">
                  <c:v>129.03200000000001</c:v>
                </c:pt>
                <c:pt idx="91">
                  <c:v>77.216000000000008</c:v>
                </c:pt>
                <c:pt idx="92">
                  <c:v>45.72</c:v>
                </c:pt>
                <c:pt idx="93">
                  <c:v>12.954000000000001</c:v>
                </c:pt>
                <c:pt idx="94">
                  <c:v>9.9060000000000006</c:v>
                </c:pt>
                <c:pt idx="95">
                  <c:v>5.5880000000000001</c:v>
                </c:pt>
                <c:pt idx="96">
                  <c:v>5.3340000000000005</c:v>
                </c:pt>
                <c:pt idx="97">
                  <c:v>2.286</c:v>
                </c:pt>
                <c:pt idx="98">
                  <c:v>260.096</c:v>
                </c:pt>
                <c:pt idx="99">
                  <c:v>28.701999999999998</c:v>
                </c:pt>
                <c:pt idx="100">
                  <c:v>12.192</c:v>
                </c:pt>
                <c:pt idx="101">
                  <c:v>11.176</c:v>
                </c:pt>
                <c:pt idx="102">
                  <c:v>4.5720000000000001</c:v>
                </c:pt>
                <c:pt idx="103">
                  <c:v>7.8740000000000006</c:v>
                </c:pt>
                <c:pt idx="104">
                  <c:v>2.794</c:v>
                </c:pt>
                <c:pt idx="105">
                  <c:v>3.3019999999999996</c:v>
                </c:pt>
                <c:pt idx="106">
                  <c:v>8.1280000000000001</c:v>
                </c:pt>
                <c:pt idx="107">
                  <c:v>3.048</c:v>
                </c:pt>
                <c:pt idx="108">
                  <c:v>6.8580000000000005</c:v>
                </c:pt>
                <c:pt idx="109">
                  <c:v>2.032</c:v>
                </c:pt>
                <c:pt idx="110">
                  <c:v>81.28</c:v>
                </c:pt>
                <c:pt idx="111">
                  <c:v>49.783999999999999</c:v>
                </c:pt>
                <c:pt idx="112">
                  <c:v>27.178000000000001</c:v>
                </c:pt>
                <c:pt idx="113">
                  <c:v>10.414</c:v>
                </c:pt>
                <c:pt idx="114">
                  <c:v>28.448</c:v>
                </c:pt>
                <c:pt idx="115">
                  <c:v>1.524</c:v>
                </c:pt>
                <c:pt idx="116">
                  <c:v>75.183999999999997</c:v>
                </c:pt>
                <c:pt idx="117">
                  <c:v>67.056000000000012</c:v>
                </c:pt>
                <c:pt idx="118">
                  <c:v>29.464000000000002</c:v>
                </c:pt>
                <c:pt idx="119">
                  <c:v>12.954000000000001</c:v>
                </c:pt>
                <c:pt idx="120">
                  <c:v>15.24</c:v>
                </c:pt>
                <c:pt idx="121">
                  <c:v>0.76200000000000001</c:v>
                </c:pt>
                <c:pt idx="122">
                  <c:v>123.95200000000001</c:v>
                </c:pt>
                <c:pt idx="123">
                  <c:v>59.943999999999996</c:v>
                </c:pt>
                <c:pt idx="124">
                  <c:v>51.816000000000003</c:v>
                </c:pt>
                <c:pt idx="125">
                  <c:v>17.017999999999997</c:v>
                </c:pt>
                <c:pt idx="126">
                  <c:v>10.668000000000001</c:v>
                </c:pt>
                <c:pt idx="127">
                  <c:v>8.89</c:v>
                </c:pt>
                <c:pt idx="128">
                  <c:v>4.3179999999999996</c:v>
                </c:pt>
                <c:pt idx="129">
                  <c:v>3.048</c:v>
                </c:pt>
                <c:pt idx="130">
                  <c:v>1.27</c:v>
                </c:pt>
                <c:pt idx="131">
                  <c:v>201.16800000000001</c:v>
                </c:pt>
                <c:pt idx="132">
                  <c:v>22.352</c:v>
                </c:pt>
                <c:pt idx="133">
                  <c:v>17.017999999999997</c:v>
                </c:pt>
                <c:pt idx="134">
                  <c:v>9.3979999999999997</c:v>
                </c:pt>
                <c:pt idx="135">
                  <c:v>9.1440000000000001</c:v>
                </c:pt>
                <c:pt idx="136">
                  <c:v>10.16</c:v>
                </c:pt>
                <c:pt idx="137">
                  <c:v>2.794</c:v>
                </c:pt>
                <c:pt idx="138">
                  <c:v>3.3019999999999996</c:v>
                </c:pt>
                <c:pt idx="139">
                  <c:v>16.764000000000003</c:v>
                </c:pt>
                <c:pt idx="140">
                  <c:v>5.8419999999999996</c:v>
                </c:pt>
                <c:pt idx="141">
                  <c:v>10.921999999999999</c:v>
                </c:pt>
                <c:pt idx="142">
                  <c:v>6.35</c:v>
                </c:pt>
                <c:pt idx="143">
                  <c:v>5.8419999999999996</c:v>
                </c:pt>
                <c:pt idx="144">
                  <c:v>19.05</c:v>
                </c:pt>
                <c:pt idx="145">
                  <c:v>5.8419999999999996</c:v>
                </c:pt>
                <c:pt idx="146">
                  <c:v>5.3340000000000005</c:v>
                </c:pt>
                <c:pt idx="147">
                  <c:v>3.81</c:v>
                </c:pt>
                <c:pt idx="148">
                  <c:v>233.68</c:v>
                </c:pt>
                <c:pt idx="149">
                  <c:v>11.938000000000001</c:v>
                </c:pt>
                <c:pt idx="150">
                  <c:v>9.1440000000000001</c:v>
                </c:pt>
                <c:pt idx="151">
                  <c:v>8.3820000000000014</c:v>
                </c:pt>
                <c:pt idx="152">
                  <c:v>4.5720000000000001</c:v>
                </c:pt>
                <c:pt idx="153">
                  <c:v>5.08</c:v>
                </c:pt>
                <c:pt idx="154">
                  <c:v>2.032</c:v>
                </c:pt>
                <c:pt idx="155">
                  <c:v>103.63200000000001</c:v>
                </c:pt>
                <c:pt idx="156">
                  <c:v>129.03200000000001</c:v>
                </c:pt>
                <c:pt idx="157">
                  <c:v>60.96</c:v>
                </c:pt>
                <c:pt idx="158">
                  <c:v>17.78</c:v>
                </c:pt>
                <c:pt idx="159">
                  <c:v>11.43</c:v>
                </c:pt>
                <c:pt idx="160">
                  <c:v>7.8740000000000006</c:v>
                </c:pt>
                <c:pt idx="161">
                  <c:v>3.81</c:v>
                </c:pt>
                <c:pt idx="162">
                  <c:v>2.794</c:v>
                </c:pt>
                <c:pt idx="163">
                  <c:v>2.032</c:v>
                </c:pt>
                <c:pt idx="164">
                  <c:v>129.03200000000001</c:v>
                </c:pt>
                <c:pt idx="165">
                  <c:v>70.103999999999999</c:v>
                </c:pt>
                <c:pt idx="166">
                  <c:v>19.558</c:v>
                </c:pt>
                <c:pt idx="167">
                  <c:v>11.43</c:v>
                </c:pt>
                <c:pt idx="168">
                  <c:v>9.1440000000000001</c:v>
                </c:pt>
                <c:pt idx="169">
                  <c:v>4.0640000000000001</c:v>
                </c:pt>
                <c:pt idx="170">
                  <c:v>2.032</c:v>
                </c:pt>
                <c:pt idx="171">
                  <c:v>128.01599999999999</c:v>
                </c:pt>
                <c:pt idx="172">
                  <c:v>24.891999999999999</c:v>
                </c:pt>
                <c:pt idx="173">
                  <c:v>29.464000000000002</c:v>
                </c:pt>
                <c:pt idx="174">
                  <c:v>9.9060000000000006</c:v>
                </c:pt>
                <c:pt idx="175">
                  <c:v>14.478</c:v>
                </c:pt>
                <c:pt idx="176">
                  <c:v>1.524</c:v>
                </c:pt>
                <c:pt idx="177">
                  <c:v>0.76200000000000001</c:v>
                </c:pt>
                <c:pt idx="178">
                  <c:v>45.72</c:v>
                </c:pt>
                <c:pt idx="179">
                  <c:v>41.655999999999999</c:v>
                </c:pt>
                <c:pt idx="180">
                  <c:v>14.224</c:v>
                </c:pt>
                <c:pt idx="181">
                  <c:v>15.24</c:v>
                </c:pt>
                <c:pt idx="182">
                  <c:v>1.27</c:v>
                </c:pt>
                <c:pt idx="183">
                  <c:v>0.76200000000000001</c:v>
                </c:pt>
              </c:numCache>
            </c:numRef>
          </c:yVal>
          <c:smooth val="0"/>
          <c:extLst>
            <c:ext xmlns:c16="http://schemas.microsoft.com/office/drawing/2014/chart" uri="{C3380CC4-5D6E-409C-BE32-E72D297353CC}">
              <c16:uniqueId val="{00000001-A33B-4A68-B14E-66985C8BDD64}"/>
            </c:ext>
          </c:extLst>
        </c:ser>
        <c:ser>
          <c:idx val="2"/>
          <c:order val="1"/>
          <c:tx>
            <c:v>USBM RI 8507 Mean Line</c:v>
          </c:tx>
          <c:spPr>
            <a:ln w="12700" cap="rnd">
              <a:solidFill>
                <a:srgbClr val="7030A0"/>
              </a:solidFill>
              <a:prstDash val="sysDot"/>
              <a:round/>
            </a:ln>
            <a:effectLst/>
          </c:spPr>
          <c:marker>
            <c:symbol val="none"/>
          </c:marker>
          <c:xVal>
            <c:numRef>
              <c:f>Ground_Vibration_Metric!$N$2:$N$3</c:f>
              <c:numCache>
                <c:formatCode>0</c:formatCode>
                <c:ptCount val="2"/>
                <c:pt idx="0">
                  <c:v>1</c:v>
                </c:pt>
                <c:pt idx="1">
                  <c:v>100</c:v>
                </c:pt>
              </c:numCache>
              <c:extLst xmlns:c15="http://schemas.microsoft.com/office/drawing/2012/chart"/>
            </c:numRef>
          </c:xVal>
          <c:yVal>
            <c:numRef>
              <c:f>Ground_Vibration_Metric!$N$10:$O$10</c:f>
              <c:numCache>
                <c:formatCode>#,##0.000</c:formatCode>
                <c:ptCount val="2"/>
                <c:pt idx="0">
                  <c:v>905</c:v>
                </c:pt>
                <c:pt idx="1">
                  <c:v>0.82536980961709738</c:v>
                </c:pt>
              </c:numCache>
              <c:extLst xmlns:c15="http://schemas.microsoft.com/office/drawing/2012/chart"/>
            </c:numRef>
          </c:yVal>
          <c:smooth val="0"/>
          <c:extLst>
            <c:ext xmlns:c16="http://schemas.microsoft.com/office/drawing/2014/chart" uri="{C3380CC4-5D6E-409C-BE32-E72D297353CC}">
              <c16:uniqueId val="{00000002-A33B-4A68-B14E-66985C8BDD64}"/>
            </c:ext>
          </c:extLst>
        </c:ser>
        <c:ser>
          <c:idx val="3"/>
          <c:order val="2"/>
          <c:tx>
            <c:v>USBM RI 8507 Upper Bound Line</c:v>
          </c:tx>
          <c:spPr>
            <a:ln w="12700" cap="rnd">
              <a:solidFill>
                <a:srgbClr val="002060"/>
              </a:solidFill>
              <a:prstDash val="sysDot"/>
              <a:round/>
            </a:ln>
            <a:effectLst/>
          </c:spPr>
          <c:marker>
            <c:symbol val="none"/>
          </c:marker>
          <c:xVal>
            <c:numRef>
              <c:f>Ground_Vibration_Metric!$N$2:$N$3</c:f>
              <c:numCache>
                <c:formatCode>0</c:formatCode>
                <c:ptCount val="2"/>
                <c:pt idx="0">
                  <c:v>1</c:v>
                </c:pt>
                <c:pt idx="1">
                  <c:v>100</c:v>
                </c:pt>
              </c:numCache>
              <c:extLst xmlns:c15="http://schemas.microsoft.com/office/drawing/2012/chart"/>
            </c:numRef>
          </c:xVal>
          <c:yVal>
            <c:numRef>
              <c:f>Ground_Vibration_Metric!$N$11:$O$11</c:f>
              <c:numCache>
                <c:formatCode>#,##0.000</c:formatCode>
                <c:ptCount val="2"/>
                <c:pt idx="0">
                  <c:v>3330</c:v>
                </c:pt>
                <c:pt idx="1">
                  <c:v>3.036996095055176</c:v>
                </c:pt>
              </c:numCache>
              <c:extLst xmlns:c15="http://schemas.microsoft.com/office/drawing/2012/chart"/>
            </c:numRef>
          </c:yVal>
          <c:smooth val="0"/>
          <c:extLst>
            <c:ext xmlns:c16="http://schemas.microsoft.com/office/drawing/2014/chart" uri="{C3380CC4-5D6E-409C-BE32-E72D297353CC}">
              <c16:uniqueId val="{00000003-A33B-4A68-B14E-66985C8BDD64}"/>
            </c:ext>
          </c:extLst>
        </c:ser>
        <c:ser>
          <c:idx val="1"/>
          <c:order val="3"/>
          <c:tx>
            <c:v>Upper Bound Line (95% Confidence)</c:v>
          </c:tx>
          <c:spPr>
            <a:ln w="25400" cap="rnd">
              <a:solidFill>
                <a:srgbClr val="C00000"/>
              </a:solidFill>
              <a:prstDash val="dash"/>
              <a:round/>
            </a:ln>
            <a:effectLst/>
          </c:spPr>
          <c:marker>
            <c:symbol val="none"/>
          </c:marker>
          <c:xVal>
            <c:numRef>
              <c:f>Ground_Vibration_Metric!$N$2:$N$3</c:f>
              <c:numCache>
                <c:formatCode>0</c:formatCode>
                <c:ptCount val="2"/>
                <c:pt idx="0">
                  <c:v>1</c:v>
                </c:pt>
                <c:pt idx="1">
                  <c:v>100</c:v>
                </c:pt>
              </c:numCache>
            </c:numRef>
          </c:xVal>
          <c:yVal>
            <c:numRef>
              <c:f>Ground_Vibration_Metric!$N$6:$N$7</c:f>
              <c:numCache>
                <c:formatCode>#,##0.000</c:formatCode>
                <c:ptCount val="2"/>
                <c:pt idx="0">
                  <c:v>1140.7334061720528</c:v>
                </c:pt>
                <c:pt idx="1">
                  <c:v>5.4835390307410155</c:v>
                </c:pt>
              </c:numCache>
            </c:numRef>
          </c:yVal>
          <c:smooth val="0"/>
          <c:extLst>
            <c:ext xmlns:c16="http://schemas.microsoft.com/office/drawing/2014/chart" uri="{C3380CC4-5D6E-409C-BE32-E72D297353CC}">
              <c16:uniqueId val="{00000004-A33B-4A68-B14E-66985C8BDD64}"/>
            </c:ext>
          </c:extLst>
        </c:ser>
        <c:dLbls>
          <c:showLegendKey val="0"/>
          <c:showVal val="0"/>
          <c:showCatName val="0"/>
          <c:showSerName val="0"/>
          <c:showPercent val="0"/>
          <c:showBubbleSize val="0"/>
        </c:dLbls>
        <c:axId val="502997392"/>
        <c:axId val="504819096"/>
        <c:extLst/>
      </c:scatterChart>
      <c:valAx>
        <c:axId val="502997392"/>
        <c:scaling>
          <c:logBase val="10"/>
          <c:orientation val="minMax"/>
          <c:max val="100"/>
          <c:min val="1"/>
        </c:scaling>
        <c:delete val="0"/>
        <c:axPos val="b"/>
        <c:majorGridlines>
          <c:spPr>
            <a:ln w="9525" cap="flat" cmpd="sng" algn="ctr">
              <a:solidFill>
                <a:schemeClr val="tx1">
                  <a:lumMod val="50000"/>
                  <a:lumOff val="50000"/>
                </a:schemeClr>
              </a:solidFill>
              <a:round/>
            </a:ln>
            <a:effectLst/>
          </c:spPr>
        </c:majorGridlines>
        <c:minorGridlines>
          <c:spPr>
            <a:ln w="9525" cap="flat" cmpd="sng" algn="ctr">
              <a:solidFill>
                <a:schemeClr val="bg1">
                  <a:lumMod val="75000"/>
                </a:schemeClr>
              </a:solidFill>
              <a:round/>
            </a:ln>
            <a:effectLst/>
          </c:spPr>
        </c:minorGridlines>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SD</a:t>
                </a:r>
                <a:r>
                  <a:rPr lang="en-US" b="1" baseline="-25000"/>
                  <a:t>2</a:t>
                </a:r>
                <a:r>
                  <a:rPr lang="en-US" b="1" baseline="0"/>
                  <a:t> (</a:t>
                </a:r>
                <a:r>
                  <a:rPr lang="en-US" b="1"/>
                  <a:t>m/kg</a:t>
                </a:r>
                <a:r>
                  <a:rPr lang="en-US" b="1" baseline="30000"/>
                  <a:t>1/2</a:t>
                </a:r>
                <a:r>
                  <a:rPr lang="en-US" b="1" baseline="0"/>
                  <a:t>)</a:t>
                </a:r>
              </a:p>
            </c:rich>
          </c:tx>
          <c:layout>
            <c:manualLayout>
              <c:xMode val="edge"/>
              <c:yMode val="edge"/>
              <c:x val="0.43761300359538802"/>
              <c:y val="0.94675955130968859"/>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4819096"/>
        <c:crossesAt val="1.0000000000000002E-2"/>
        <c:crossBetween val="midCat"/>
      </c:valAx>
      <c:valAx>
        <c:axId val="504819096"/>
        <c:scaling>
          <c:logBase val="10"/>
          <c:orientation val="minMax"/>
          <c:max val="1000"/>
        </c:scaling>
        <c:delete val="0"/>
        <c:axPos val="l"/>
        <c:majorGridlines>
          <c:spPr>
            <a:ln w="9525" cap="flat" cmpd="sng" algn="ctr">
              <a:solidFill>
                <a:schemeClr val="tx1">
                  <a:lumMod val="50000"/>
                  <a:lumOff val="50000"/>
                </a:schemeClr>
              </a:solidFill>
              <a:round/>
            </a:ln>
            <a:effectLst/>
          </c:spPr>
        </c:majorGridlines>
        <c:minorGridlines>
          <c:spPr>
            <a:ln w="9525" cap="flat" cmpd="sng" algn="ctr">
              <a:solidFill>
                <a:schemeClr val="bg1">
                  <a:lumMod val="75000"/>
                </a:schemeClr>
              </a:solidFill>
              <a:round/>
            </a:ln>
            <a:effectLst/>
          </c:spPr>
        </c:min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PPV</a:t>
                </a:r>
                <a:r>
                  <a:rPr lang="en-US" b="1" baseline="0"/>
                  <a:t> (mm/s</a:t>
                </a:r>
                <a:r>
                  <a:rPr lang="en-US" b="1"/>
                  <a:t>ec)</a:t>
                </a:r>
              </a:p>
            </c:rich>
          </c:tx>
          <c:layout>
            <c:manualLayout>
              <c:xMode val="edge"/>
              <c:yMode val="edge"/>
              <c:x val="3.9969366056400932E-2"/>
              <c:y val="0.44075018720642628"/>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2997392"/>
        <c:crosses val="autoZero"/>
        <c:crossBetween val="midCat"/>
      </c:valAx>
      <c:spPr>
        <a:solidFill>
          <a:schemeClr val="bg1"/>
        </a:solidFill>
        <a:ln w="9525">
          <a:solidFill>
            <a:schemeClr val="tx1"/>
          </a:solidFill>
        </a:ln>
        <a:effectLst/>
      </c:spPr>
    </c:plotArea>
    <c:legend>
      <c:legendPos val="tr"/>
      <c:layout>
        <c:manualLayout>
          <c:xMode val="edge"/>
          <c:yMode val="edge"/>
          <c:x val="0.15097745950945438"/>
          <c:y val="0.75543773360708133"/>
          <c:w val="0.40267054211987008"/>
          <c:h val="0.12820304522453424"/>
        </c:manualLayout>
      </c:layout>
      <c:overlay val="0"/>
      <c:spPr>
        <a:solidFill>
          <a:schemeClr val="bg1"/>
        </a:solidFill>
        <a:ln>
          <a:solidFill>
            <a:schemeClr val="bg1">
              <a:lumMod val="75000"/>
            </a:schemeClr>
          </a:solidFill>
        </a:ln>
        <a:effectLst>
          <a:outerShdw blurRad="50800" dist="38100" dir="18900000" algn="bl" rotWithShape="0">
            <a:prstClr val="black">
              <a:alpha val="40000"/>
            </a:prstClr>
          </a:outerShdw>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b="1"/>
              <a:t>Peak Airblast</a:t>
            </a:r>
            <a:r>
              <a:rPr lang="en-US" b="1" baseline="0"/>
              <a:t> </a:t>
            </a:r>
            <a:r>
              <a:rPr lang="en-US" b="1"/>
              <a:t>(AB)</a:t>
            </a:r>
            <a:r>
              <a:rPr lang="en-US" b="1" baseline="0"/>
              <a:t> vs. Cube Root Scaled Distance (SD</a:t>
            </a:r>
            <a:r>
              <a:rPr lang="en-US" b="1" baseline="-25000"/>
              <a:t>3</a:t>
            </a:r>
            <a:r>
              <a:rPr lang="en-US" b="1" baseline="0"/>
              <a:t>)</a:t>
            </a:r>
            <a:endParaRPr lang="en-US" b="1"/>
          </a:p>
        </c:rich>
      </c:tx>
      <c:layout>
        <c:manualLayout>
          <c:xMode val="edge"/>
          <c:yMode val="edge"/>
          <c:x val="0.23472095265016055"/>
          <c:y val="4.0329201274083154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5030953860739013"/>
          <c:y val="0.12184719334325633"/>
          <c:w val="0.73795466909303042"/>
          <c:h val="0.76972569902750598"/>
        </c:manualLayout>
      </c:layout>
      <c:scatterChart>
        <c:scatterStyle val="lineMarker"/>
        <c:varyColors val="0"/>
        <c:ser>
          <c:idx val="0"/>
          <c:order val="0"/>
          <c:tx>
            <c:v>Blast Event Data</c:v>
          </c:tx>
          <c:spPr>
            <a:ln w="25400" cap="rnd">
              <a:noFill/>
              <a:round/>
            </a:ln>
            <a:effectLst/>
          </c:spPr>
          <c:marker>
            <c:symbol val="diamond"/>
            <c:size val="6"/>
            <c:spPr>
              <a:solidFill>
                <a:srgbClr val="FFFF00"/>
              </a:solidFill>
              <a:ln w="9525">
                <a:solidFill>
                  <a:schemeClr val="tx1"/>
                </a:solidFill>
              </a:ln>
              <a:effectLst/>
            </c:spPr>
          </c:marker>
          <c:trendline>
            <c:name>Best Fit Line</c:name>
            <c:spPr>
              <a:ln w="25400" cap="rnd">
                <a:solidFill>
                  <a:schemeClr val="tx1"/>
                </a:solidFill>
                <a:prstDash val="solid"/>
              </a:ln>
              <a:effectLst/>
            </c:spPr>
            <c:trendlineType val="power"/>
            <c:dispRSqr val="1"/>
            <c:dispEq val="0"/>
            <c:trendlineLbl>
              <c:layout>
                <c:manualLayout>
                  <c:x val="0.16550410079702924"/>
                  <c:y val="-0.55106460177326322"/>
                </c:manualLayout>
              </c:layout>
              <c:numFmt formatCode="General" sourceLinked="0"/>
              <c:spPr>
                <a:solidFill>
                  <a:schemeClr val="bg1"/>
                </a:solidFill>
                <a:ln>
                  <a:solidFill>
                    <a:schemeClr val="bg1">
                      <a:lumMod val="75000"/>
                    </a:schemeClr>
                  </a:solidFill>
                </a:ln>
                <a:effectLst>
                  <a:outerShdw blurRad="50800" dist="38100" dir="8100000" algn="tr" rotWithShape="0">
                    <a:prstClr val="black">
                      <a:alpha val="40000"/>
                    </a:prstClr>
                  </a:outerShdw>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rendlineLbl>
          </c:trendline>
          <c:xVal>
            <c:numRef>
              <c:f>[0]!Metric_SD3</c:f>
              <c:numCache>
                <c:formatCode>0.00</c:formatCode>
                <c:ptCount val="184"/>
                <c:pt idx="0">
                  <c:v>2.635057167438323</c:v>
                </c:pt>
                <c:pt idx="1">
                  <c:v>18.91971046220716</c:v>
                </c:pt>
                <c:pt idx="2">
                  <c:v>35.836777477161199</c:v>
                </c:pt>
                <c:pt idx="3">
                  <c:v>52.437637632022629</c:v>
                </c:pt>
                <c:pt idx="4">
                  <c:v>63.979188025402486</c:v>
                </c:pt>
                <c:pt idx="5">
                  <c:v>153.04412028481781</c:v>
                </c:pt>
                <c:pt idx="6">
                  <c:v>172.5435433238614</c:v>
                </c:pt>
                <c:pt idx="7">
                  <c:v>2.788231867460945</c:v>
                </c:pt>
                <c:pt idx="8">
                  <c:v>18.067742501146924</c:v>
                </c:pt>
                <c:pt idx="9">
                  <c:v>39.648657155294629</c:v>
                </c:pt>
                <c:pt idx="10">
                  <c:v>61.787218182934531</c:v>
                </c:pt>
                <c:pt idx="11">
                  <c:v>72.215205367238468</c:v>
                </c:pt>
                <c:pt idx="12">
                  <c:v>94.242237120179922</c:v>
                </c:pt>
                <c:pt idx="13">
                  <c:v>123.6859656405675</c:v>
                </c:pt>
                <c:pt idx="14">
                  <c:v>32.455018937245399</c:v>
                </c:pt>
                <c:pt idx="15">
                  <c:v>53.534051855250141</c:v>
                </c:pt>
                <c:pt idx="16">
                  <c:v>67.698269741951734</c:v>
                </c:pt>
                <c:pt idx="17">
                  <c:v>79.520372859986139</c:v>
                </c:pt>
                <c:pt idx="18">
                  <c:v>191.38423538251925</c:v>
                </c:pt>
                <c:pt idx="19">
                  <c:v>22.052210760579502</c:v>
                </c:pt>
                <c:pt idx="20">
                  <c:v>44.104421521159004</c:v>
                </c:pt>
                <c:pt idx="21">
                  <c:v>70.555936953672301</c:v>
                </c:pt>
                <c:pt idx="22">
                  <c:v>88.821404452334107</c:v>
                </c:pt>
                <c:pt idx="23">
                  <c:v>105.80606173005317</c:v>
                </c:pt>
                <c:pt idx="24">
                  <c:v>35.305812177291429</c:v>
                </c:pt>
                <c:pt idx="25">
                  <c:v>47.000166368507827</c:v>
                </c:pt>
                <c:pt idx="26">
                  <c:v>29.402947680772673</c:v>
                </c:pt>
                <c:pt idx="27">
                  <c:v>43.770297115695676</c:v>
                </c:pt>
                <c:pt idx="28">
                  <c:v>76.403114049280504</c:v>
                </c:pt>
                <c:pt idx="29">
                  <c:v>105.80606173005317</c:v>
                </c:pt>
                <c:pt idx="30">
                  <c:v>102.91031688270435</c:v>
                </c:pt>
                <c:pt idx="31">
                  <c:v>14.701473840386337</c:v>
                </c:pt>
                <c:pt idx="32">
                  <c:v>29.402947680772673</c:v>
                </c:pt>
                <c:pt idx="33">
                  <c:v>48.893537999466673</c:v>
                </c:pt>
                <c:pt idx="34">
                  <c:v>78.3521730811499</c:v>
                </c:pt>
                <c:pt idx="35">
                  <c:v>174.02312784548218</c:v>
                </c:pt>
                <c:pt idx="36">
                  <c:v>4.9487887054151258</c:v>
                </c:pt>
                <c:pt idx="37">
                  <c:v>16.495962351383753</c:v>
                </c:pt>
                <c:pt idx="38">
                  <c:v>38.490578819895426</c:v>
                </c:pt>
                <c:pt idx="39">
                  <c:v>67.633445640673386</c:v>
                </c:pt>
                <c:pt idx="40">
                  <c:v>120.97039057681418</c:v>
                </c:pt>
                <c:pt idx="41">
                  <c:v>142.96500704532585</c:v>
                </c:pt>
                <c:pt idx="42">
                  <c:v>5.2350397411256457</c:v>
                </c:pt>
                <c:pt idx="43">
                  <c:v>16.549480471945589</c:v>
                </c:pt>
                <c:pt idx="44">
                  <c:v>28.370537951906726</c:v>
                </c:pt>
                <c:pt idx="45">
                  <c:v>50.886837913737459</c:v>
                </c:pt>
                <c:pt idx="46">
                  <c:v>80.720935363163179</c:v>
                </c:pt>
                <c:pt idx="47">
                  <c:v>135.32296277060271</c:v>
                </c:pt>
                <c:pt idx="48">
                  <c:v>157.83926273243347</c:v>
                </c:pt>
                <c:pt idx="49">
                  <c:v>14.654331823227176</c:v>
                </c:pt>
                <c:pt idx="50">
                  <c:v>39.411271191254905</c:v>
                </c:pt>
                <c:pt idx="51">
                  <c:v>58.617327292908705</c:v>
                </c:pt>
                <c:pt idx="52">
                  <c:v>93.809927201719418</c:v>
                </c:pt>
                <c:pt idx="53">
                  <c:v>178.73844117724056</c:v>
                </c:pt>
                <c:pt idx="54">
                  <c:v>39.411271191254905</c:v>
                </c:pt>
                <c:pt idx="55">
                  <c:v>45.739278114921184</c:v>
                </c:pt>
                <c:pt idx="56">
                  <c:v>67.387722853779508</c:v>
                </c:pt>
                <c:pt idx="57">
                  <c:v>79.71068370512964</c:v>
                </c:pt>
                <c:pt idx="58">
                  <c:v>178.73844117724056</c:v>
                </c:pt>
                <c:pt idx="59">
                  <c:v>5.3226298935981413</c:v>
                </c:pt>
                <c:pt idx="60">
                  <c:v>29.966406300957537</c:v>
                </c:pt>
                <c:pt idx="61">
                  <c:v>33.000305340308479</c:v>
                </c:pt>
                <c:pt idx="62">
                  <c:v>45.614938188136072</c:v>
                </c:pt>
                <c:pt idx="63">
                  <c:v>73.824876624206226</c:v>
                </c:pt>
                <c:pt idx="64">
                  <c:v>114.43654271236005</c:v>
                </c:pt>
                <c:pt idx="65">
                  <c:v>119.75917260595818</c:v>
                </c:pt>
                <c:pt idx="66">
                  <c:v>146.37232207394891</c:v>
                </c:pt>
                <c:pt idx="67">
                  <c:v>11.024919692789569</c:v>
                </c:pt>
                <c:pt idx="68">
                  <c:v>6.0245462802128795</c:v>
                </c:pt>
                <c:pt idx="69">
                  <c:v>23.074012253215329</c:v>
                </c:pt>
                <c:pt idx="70">
                  <c:v>31.930095285128264</c:v>
                </c:pt>
                <c:pt idx="71">
                  <c:v>79.102292659195115</c:v>
                </c:pt>
                <c:pt idx="72">
                  <c:v>131.51584529704718</c:v>
                </c:pt>
                <c:pt idx="73">
                  <c:v>173.68766925853731</c:v>
                </c:pt>
                <c:pt idx="74">
                  <c:v>167.66312297832445</c:v>
                </c:pt>
                <c:pt idx="75">
                  <c:v>5.8741199460533169</c:v>
                </c:pt>
                <c:pt idx="76">
                  <c:v>22.204173396081536</c:v>
                </c:pt>
                <c:pt idx="77">
                  <c:v>36.243320067148964</c:v>
                </c:pt>
                <c:pt idx="78">
                  <c:v>77.244677290601118</c:v>
                </c:pt>
                <c:pt idx="79">
                  <c:v>111.96072617177622</c:v>
                </c:pt>
                <c:pt idx="80">
                  <c:v>144.26838587506944</c:v>
                </c:pt>
                <c:pt idx="81">
                  <c:v>179.51310555138934</c:v>
                </c:pt>
                <c:pt idx="82">
                  <c:v>5.6506839355102461</c:v>
                </c:pt>
                <c:pt idx="83">
                  <c:v>21.359585276228728</c:v>
                </c:pt>
                <c:pt idx="84">
                  <c:v>34.864719882098214</c:v>
                </c:pt>
                <c:pt idx="85">
                  <c:v>74.306493751959735</c:v>
                </c:pt>
                <c:pt idx="86">
                  <c:v>107.70203581082529</c:v>
                </c:pt>
                <c:pt idx="87">
                  <c:v>139.28935901032756</c:v>
                </c:pt>
                <c:pt idx="88">
                  <c:v>173.19346262338902</c:v>
                </c:pt>
                <c:pt idx="89">
                  <c:v>179.97428334600133</c:v>
                </c:pt>
                <c:pt idx="90">
                  <c:v>5.6479646454197141</c:v>
                </c:pt>
                <c:pt idx="91">
                  <c:v>17.904047925980493</c:v>
                </c:pt>
                <c:pt idx="92">
                  <c:v>31.402683428533607</c:v>
                </c:pt>
                <c:pt idx="93">
                  <c:v>70.825476653563214</c:v>
                </c:pt>
                <c:pt idx="94">
                  <c:v>104.20494770799372</c:v>
                </c:pt>
                <c:pt idx="95">
                  <c:v>135.26875325780213</c:v>
                </c:pt>
                <c:pt idx="96">
                  <c:v>169.66485794840821</c:v>
                </c:pt>
                <c:pt idx="97">
                  <c:v>217.39015920220479</c:v>
                </c:pt>
                <c:pt idx="98">
                  <c:v>2.7101980666915635</c:v>
                </c:pt>
                <c:pt idx="99">
                  <c:v>17.182655742824512</c:v>
                </c:pt>
                <c:pt idx="100">
                  <c:v>37.183917475008251</c:v>
                </c:pt>
                <c:pt idx="101">
                  <c:v>65.803609059271167</c:v>
                </c:pt>
                <c:pt idx="102">
                  <c:v>97.29611059422713</c:v>
                </c:pt>
                <c:pt idx="103">
                  <c:v>100.16892054492018</c:v>
                </c:pt>
                <c:pt idx="104">
                  <c:v>123.04299222779697</c:v>
                </c:pt>
                <c:pt idx="105">
                  <c:v>68.676419009964221</c:v>
                </c:pt>
                <c:pt idx="106">
                  <c:v>71.549228960657274</c:v>
                </c:pt>
                <c:pt idx="107">
                  <c:v>83.474100454100153</c:v>
                </c:pt>
                <c:pt idx="108">
                  <c:v>88.731884703481796</c:v>
                </c:pt>
                <c:pt idx="109">
                  <c:v>100.16892054492018</c:v>
                </c:pt>
                <c:pt idx="110">
                  <c:v>5.7399420444787728</c:v>
                </c:pt>
                <c:pt idx="111">
                  <c:v>16.113965739545911</c:v>
                </c:pt>
                <c:pt idx="112">
                  <c:v>32.807191685415368</c:v>
                </c:pt>
                <c:pt idx="113">
                  <c:v>56.978140294734246</c:v>
                </c:pt>
                <c:pt idx="114">
                  <c:v>70.564425133959233</c:v>
                </c:pt>
                <c:pt idx="115">
                  <c:v>195.68462969984515</c:v>
                </c:pt>
                <c:pt idx="116">
                  <c:v>5.3723733990804732</c:v>
                </c:pt>
                <c:pt idx="117">
                  <c:v>10.923825911463629</c:v>
                </c:pt>
                <c:pt idx="118">
                  <c:v>25.190461937910662</c:v>
                </c:pt>
                <c:pt idx="119">
                  <c:v>50.261537800286199</c:v>
                </c:pt>
                <c:pt idx="120">
                  <c:v>69.363309885905664</c:v>
                </c:pt>
                <c:pt idx="121">
                  <c:v>192.27127464931337</c:v>
                </c:pt>
                <c:pt idx="122">
                  <c:v>5.7175621427626222</c:v>
                </c:pt>
                <c:pt idx="123">
                  <c:v>14.980012814038071</c:v>
                </c:pt>
                <c:pt idx="124">
                  <c:v>29.273918170944629</c:v>
                </c:pt>
                <c:pt idx="125">
                  <c:v>53.459206034830522</c:v>
                </c:pt>
                <c:pt idx="126">
                  <c:v>78.15907449156505</c:v>
                </c:pt>
                <c:pt idx="127">
                  <c:v>97.084205184109322</c:v>
                </c:pt>
                <c:pt idx="128">
                  <c:v>117.78178014091003</c:v>
                </c:pt>
                <c:pt idx="129">
                  <c:v>171.75556676858918</c:v>
                </c:pt>
                <c:pt idx="130">
                  <c:v>211.89285301078277</c:v>
                </c:pt>
                <c:pt idx="131">
                  <c:v>2.6258543317039869</c:v>
                </c:pt>
                <c:pt idx="132">
                  <c:v>27.729021742794103</c:v>
                </c:pt>
                <c:pt idx="133">
                  <c:v>44.324421119163297</c:v>
                </c:pt>
                <c:pt idx="134">
                  <c:v>72.10595994859149</c:v>
                </c:pt>
                <c:pt idx="135">
                  <c:v>102.6183872829918</c:v>
                </c:pt>
                <c:pt idx="136">
                  <c:v>105.34927578796396</c:v>
                </c:pt>
                <c:pt idx="137">
                  <c:v>127.5114863475456</c:v>
                </c:pt>
                <c:pt idx="138">
                  <c:v>66.539148765379025</c:v>
                </c:pt>
                <c:pt idx="139">
                  <c:v>72.053442861957407</c:v>
                </c:pt>
                <c:pt idx="140">
                  <c:v>83.187065228382309</c:v>
                </c:pt>
                <c:pt idx="141">
                  <c:v>88.753876411594746</c:v>
                </c:pt>
                <c:pt idx="142">
                  <c:v>102.6183872829918</c:v>
                </c:pt>
                <c:pt idx="143">
                  <c:v>55.458043485588206</c:v>
                </c:pt>
                <c:pt idx="144">
                  <c:v>58.241449077194424</c:v>
                </c:pt>
                <c:pt idx="145">
                  <c:v>69.32255435698525</c:v>
                </c:pt>
                <c:pt idx="146">
                  <c:v>83.187065228382309</c:v>
                </c:pt>
                <c:pt idx="147">
                  <c:v>91.799867436371372</c:v>
                </c:pt>
                <c:pt idx="148">
                  <c:v>2.6527986807380857</c:v>
                </c:pt>
                <c:pt idx="149">
                  <c:v>34.114991034291783</c:v>
                </c:pt>
                <c:pt idx="150">
                  <c:v>50.403174934023625</c:v>
                </c:pt>
                <c:pt idx="151">
                  <c:v>75.074202664887821</c:v>
                </c:pt>
                <c:pt idx="152">
                  <c:v>109.13613772556485</c:v>
                </c:pt>
                <c:pt idx="153">
                  <c:v>103.61831646962962</c:v>
                </c:pt>
                <c:pt idx="154">
                  <c:v>128.81990393664142</c:v>
                </c:pt>
                <c:pt idx="155">
                  <c:v>12.016277180549118</c:v>
                </c:pt>
                <c:pt idx="156">
                  <c:v>3.4169508570281857</c:v>
                </c:pt>
                <c:pt idx="157">
                  <c:v>24.032554361098235</c:v>
                </c:pt>
                <c:pt idx="158">
                  <c:v>45.103751312772047</c:v>
                </c:pt>
                <c:pt idx="159">
                  <c:v>72.154612264245188</c:v>
                </c:pt>
                <c:pt idx="160">
                  <c:v>87.189196035169203</c:v>
                </c:pt>
                <c:pt idx="161">
                  <c:v>120.27667016739214</c:v>
                </c:pt>
                <c:pt idx="162">
                  <c:v>165.38042148016416</c:v>
                </c:pt>
                <c:pt idx="163">
                  <c:v>207.46586620256136</c:v>
                </c:pt>
                <c:pt idx="164">
                  <c:v>7.9154762804202008</c:v>
                </c:pt>
                <c:pt idx="165">
                  <c:v>18.486143971361102</c:v>
                </c:pt>
                <c:pt idx="166">
                  <c:v>37.022385893864104</c:v>
                </c:pt>
                <c:pt idx="167">
                  <c:v>60.8690106374085</c:v>
                </c:pt>
                <c:pt idx="168">
                  <c:v>74.094869738870102</c:v>
                </c:pt>
                <c:pt idx="169">
                  <c:v>103.15168140117211</c:v>
                </c:pt>
                <c:pt idx="170">
                  <c:v>145.4844501160776</c:v>
                </c:pt>
                <c:pt idx="171">
                  <c:v>5.0612868524825005</c:v>
                </c:pt>
                <c:pt idx="172">
                  <c:v>36.896781154597427</c:v>
                </c:pt>
                <c:pt idx="173">
                  <c:v>49.600611154328504</c:v>
                </c:pt>
                <c:pt idx="174">
                  <c:v>61.444022389137551</c:v>
                </c:pt>
                <c:pt idx="175">
                  <c:v>74.805819679691353</c:v>
                </c:pt>
                <c:pt idx="176">
                  <c:v>154.97660342301415</c:v>
                </c:pt>
                <c:pt idx="177">
                  <c:v>168.64207792471692</c:v>
                </c:pt>
                <c:pt idx="178">
                  <c:v>14.02156799867619</c:v>
                </c:pt>
                <c:pt idx="179">
                  <c:v>29.032893738435405</c:v>
                </c:pt>
                <c:pt idx="180">
                  <c:v>49.432900512979977</c:v>
                </c:pt>
                <c:pt idx="181">
                  <c:v>63.894360841026398</c:v>
                </c:pt>
                <c:pt idx="182">
                  <c:v>153.46743640904018</c:v>
                </c:pt>
                <c:pt idx="183">
                  <c:v>180.02593579476803</c:v>
                </c:pt>
              </c:numCache>
            </c:numRef>
          </c:xVal>
          <c:yVal>
            <c:numRef>
              <c:f>[0]!Metric_Ab</c:f>
              <c:numCache>
                <c:formatCode>0.00</c:formatCode>
                <c:ptCount val="184"/>
                <c:pt idx="0">
                  <c:v>178.20380826648301</c:v>
                </c:pt>
                <c:pt idx="1">
                  <c:v>63.229097185361127</c:v>
                </c:pt>
                <c:pt idx="2">
                  <c:v>39.894863253955457</c:v>
                </c:pt>
                <c:pt idx="3">
                  <c:v>25.171956977116178</c:v>
                </c:pt>
                <c:pt idx="4">
                  <c:v>17.820380826648311</c:v>
                </c:pt>
                <c:pt idx="5">
                  <c:v>7.9600717211454013</c:v>
                </c:pt>
                <c:pt idx="6">
                  <c:v>5.6352992183802844</c:v>
                </c:pt>
                <c:pt idx="7">
                  <c:v>112.43900164007762</c:v>
                </c:pt>
                <c:pt idx="8">
                  <c:v>35.556334301805308</c:v>
                </c:pt>
                <c:pt idx="9">
                  <c:v>22.434530270517083</c:v>
                </c:pt>
                <c:pt idx="10">
                  <c:v>14.155231644145974</c:v>
                </c:pt>
                <c:pt idx="11">
                  <c:v>12.615863482345585</c:v>
                </c:pt>
                <c:pt idx="12">
                  <c:v>7.9600717211454013</c:v>
                </c:pt>
                <c:pt idx="13">
                  <c:v>5.6352992183802844</c:v>
                </c:pt>
                <c:pt idx="14">
                  <c:v>79.600717211454111</c:v>
                </c:pt>
                <c:pt idx="15">
                  <c:v>35.556334301805308</c:v>
                </c:pt>
                <c:pt idx="16">
                  <c:v>25.171956977116178</c:v>
                </c:pt>
                <c:pt idx="17">
                  <c:v>15.882431129650927</c:v>
                </c:pt>
                <c:pt idx="18">
                  <c:v>7.9600717211454013</c:v>
                </c:pt>
                <c:pt idx="19">
                  <c:v>63.229097185361127</c:v>
                </c:pt>
                <c:pt idx="20">
                  <c:v>35.556334301805308</c:v>
                </c:pt>
                <c:pt idx="21">
                  <c:v>31.689616303081074</c:v>
                </c:pt>
                <c:pt idx="22">
                  <c:v>28.243400259219452</c:v>
                </c:pt>
                <c:pt idx="23">
                  <c:v>19.994796150188247</c:v>
                </c:pt>
                <c:pt idx="24">
                  <c:v>25.171956977116178</c:v>
                </c:pt>
                <c:pt idx="25">
                  <c:v>25.171956977116178</c:v>
                </c:pt>
                <c:pt idx="26">
                  <c:v>35.556334301805308</c:v>
                </c:pt>
                <c:pt idx="27">
                  <c:v>25.171956977116178</c:v>
                </c:pt>
                <c:pt idx="28">
                  <c:v>19.994796150188247</c:v>
                </c:pt>
                <c:pt idx="29">
                  <c:v>22.434530270517083</c:v>
                </c:pt>
                <c:pt idx="30">
                  <c:v>10.021136569454107</c:v>
                </c:pt>
                <c:pt idx="31">
                  <c:v>50.224657150457986</c:v>
                </c:pt>
                <c:pt idx="32">
                  <c:v>25.171956977116178</c:v>
                </c:pt>
                <c:pt idx="33">
                  <c:v>14.155231644145974</c:v>
                </c:pt>
                <c:pt idx="34">
                  <c:v>14.155231644145974</c:v>
                </c:pt>
                <c:pt idx="35">
                  <c:v>5.6352992183802844</c:v>
                </c:pt>
                <c:pt idx="36">
                  <c:v>178.20380826648301</c:v>
                </c:pt>
                <c:pt idx="37">
                  <c:v>63.229097185361127</c:v>
                </c:pt>
                <c:pt idx="38">
                  <c:v>28.243400259219452</c:v>
                </c:pt>
                <c:pt idx="39">
                  <c:v>17.820380826648311</c:v>
                </c:pt>
                <c:pt idx="40">
                  <c:v>12.615863482345585</c:v>
                </c:pt>
                <c:pt idx="41">
                  <c:v>12.615863482345585</c:v>
                </c:pt>
                <c:pt idx="42">
                  <c:v>158.82431129650914</c:v>
                </c:pt>
                <c:pt idx="43">
                  <c:v>63.229097185361127</c:v>
                </c:pt>
                <c:pt idx="44">
                  <c:v>31.689616303081074</c:v>
                </c:pt>
                <c:pt idx="45">
                  <c:v>22.434530270517083</c:v>
                </c:pt>
                <c:pt idx="46">
                  <c:v>35.556334301805308</c:v>
                </c:pt>
                <c:pt idx="47">
                  <c:v>12.615863482345585</c:v>
                </c:pt>
                <c:pt idx="48">
                  <c:v>7.9600717211454013</c:v>
                </c:pt>
                <c:pt idx="49">
                  <c:v>63.229097185361127</c:v>
                </c:pt>
                <c:pt idx="50">
                  <c:v>28.243400259219452</c:v>
                </c:pt>
                <c:pt idx="51">
                  <c:v>19.994796150188247</c:v>
                </c:pt>
                <c:pt idx="52">
                  <c:v>10.021136569454107</c:v>
                </c:pt>
                <c:pt idx="53">
                  <c:v>7.9600717211454013</c:v>
                </c:pt>
                <c:pt idx="54">
                  <c:v>50.224657150457986</c:v>
                </c:pt>
                <c:pt idx="55">
                  <c:v>25.171956977116178</c:v>
                </c:pt>
                <c:pt idx="56">
                  <c:v>14.155231644145974</c:v>
                </c:pt>
                <c:pt idx="57">
                  <c:v>10.021136569454107</c:v>
                </c:pt>
                <c:pt idx="58">
                  <c:v>5.6352992183802844</c:v>
                </c:pt>
                <c:pt idx="59">
                  <c:v>141.55231644145965</c:v>
                </c:pt>
                <c:pt idx="60">
                  <c:v>28.243400259219452</c:v>
                </c:pt>
                <c:pt idx="61">
                  <c:v>17.820380826648311</c:v>
                </c:pt>
                <c:pt idx="62">
                  <c:v>14.155231644145974</c:v>
                </c:pt>
                <c:pt idx="63">
                  <c:v>17.820380826648311</c:v>
                </c:pt>
                <c:pt idx="64">
                  <c:v>12.615863482345585</c:v>
                </c:pt>
                <c:pt idx="65">
                  <c:v>5.6352992183802844</c:v>
                </c:pt>
                <c:pt idx="66">
                  <c:v>5.6352992183802844</c:v>
                </c:pt>
                <c:pt idx="67">
                  <c:v>100.21136569454099</c:v>
                </c:pt>
                <c:pt idx="68">
                  <c:v>199.94796150188247</c:v>
                </c:pt>
                <c:pt idx="69">
                  <c:v>50.224657150457986</c:v>
                </c:pt>
                <c:pt idx="70">
                  <c:v>25.171956977116178</c:v>
                </c:pt>
                <c:pt idx="71">
                  <c:v>17.820380826648311</c:v>
                </c:pt>
                <c:pt idx="72">
                  <c:v>14.155231644145974</c:v>
                </c:pt>
                <c:pt idx="73">
                  <c:v>10.021136569454107</c:v>
                </c:pt>
                <c:pt idx="74">
                  <c:v>10.021136569454107</c:v>
                </c:pt>
                <c:pt idx="75">
                  <c:v>126.15863482345578</c:v>
                </c:pt>
                <c:pt idx="76">
                  <c:v>28.243400259219452</c:v>
                </c:pt>
                <c:pt idx="77">
                  <c:v>19.994796150188247</c:v>
                </c:pt>
                <c:pt idx="78">
                  <c:v>10.021136569454107</c:v>
                </c:pt>
                <c:pt idx="79">
                  <c:v>10.021136569454107</c:v>
                </c:pt>
                <c:pt idx="80">
                  <c:v>3.9894863253955477</c:v>
                </c:pt>
                <c:pt idx="81">
                  <c:v>3.9894863253955477</c:v>
                </c:pt>
                <c:pt idx="82">
                  <c:v>141.55231644145965</c:v>
                </c:pt>
                <c:pt idx="83">
                  <c:v>44.762772802791275</c:v>
                </c:pt>
                <c:pt idx="84">
                  <c:v>19.994796150188247</c:v>
                </c:pt>
                <c:pt idx="85">
                  <c:v>14.155231644145974</c:v>
                </c:pt>
                <c:pt idx="86">
                  <c:v>12.615863482345585</c:v>
                </c:pt>
                <c:pt idx="87">
                  <c:v>5.6352992183802844</c:v>
                </c:pt>
                <c:pt idx="88">
                  <c:v>3.9894863253955477</c:v>
                </c:pt>
                <c:pt idx="89">
                  <c:v>3.9894863253955477</c:v>
                </c:pt>
                <c:pt idx="90">
                  <c:v>141.55231644145965</c:v>
                </c:pt>
                <c:pt idx="91">
                  <c:v>44.762772802791275</c:v>
                </c:pt>
                <c:pt idx="92">
                  <c:v>35.556334301805308</c:v>
                </c:pt>
                <c:pt idx="93">
                  <c:v>22.434530270517083</c:v>
                </c:pt>
                <c:pt idx="94">
                  <c:v>17.820380826648311</c:v>
                </c:pt>
                <c:pt idx="95">
                  <c:v>7.9600717211454013</c:v>
                </c:pt>
                <c:pt idx="96">
                  <c:v>5.6352992183802844</c:v>
                </c:pt>
                <c:pt idx="97">
                  <c:v>3.9894863253955477</c:v>
                </c:pt>
                <c:pt idx="98">
                  <c:v>158.82431129650914</c:v>
                </c:pt>
                <c:pt idx="99">
                  <c:v>50.224657150457986</c:v>
                </c:pt>
                <c:pt idx="100">
                  <c:v>15.882431129650927</c:v>
                </c:pt>
                <c:pt idx="101">
                  <c:v>15.882431129650927</c:v>
                </c:pt>
                <c:pt idx="102">
                  <c:v>15.882431129650927</c:v>
                </c:pt>
                <c:pt idx="103">
                  <c:v>5.6352992183802844</c:v>
                </c:pt>
                <c:pt idx="104">
                  <c:v>3.9894863253955477</c:v>
                </c:pt>
                <c:pt idx="105">
                  <c:v>28.243400259219452</c:v>
                </c:pt>
                <c:pt idx="106">
                  <c:v>19.994796150188247</c:v>
                </c:pt>
                <c:pt idx="107">
                  <c:v>17.820380826648311</c:v>
                </c:pt>
                <c:pt idx="108">
                  <c:v>14.155231644145974</c:v>
                </c:pt>
                <c:pt idx="109">
                  <c:v>10.021136569454107</c:v>
                </c:pt>
                <c:pt idx="110">
                  <c:v>141.55231644145965</c:v>
                </c:pt>
                <c:pt idx="111">
                  <c:v>63.229097185361127</c:v>
                </c:pt>
                <c:pt idx="112">
                  <c:v>44.762772802791275</c:v>
                </c:pt>
                <c:pt idx="113">
                  <c:v>28.243400259219452</c:v>
                </c:pt>
                <c:pt idx="114">
                  <c:v>17.820380826648311</c:v>
                </c:pt>
                <c:pt idx="115">
                  <c:v>3.9894863253955477</c:v>
                </c:pt>
                <c:pt idx="116">
                  <c:v>158.82431129650914</c:v>
                </c:pt>
                <c:pt idx="117">
                  <c:v>100.21136569454099</c:v>
                </c:pt>
                <c:pt idx="118">
                  <c:v>39.894863253955457</c:v>
                </c:pt>
                <c:pt idx="119">
                  <c:v>14.155231644145974</c:v>
                </c:pt>
                <c:pt idx="120">
                  <c:v>12.615863482345585</c:v>
                </c:pt>
                <c:pt idx="121">
                  <c:v>3.9894863253955477</c:v>
                </c:pt>
                <c:pt idx="122">
                  <c:v>199.94796150188247</c:v>
                </c:pt>
                <c:pt idx="123">
                  <c:v>63.229097185361127</c:v>
                </c:pt>
                <c:pt idx="124">
                  <c:v>31.689616303081074</c:v>
                </c:pt>
                <c:pt idx="125">
                  <c:v>17.820380826648311</c:v>
                </c:pt>
                <c:pt idx="126">
                  <c:v>17.820380826648311</c:v>
                </c:pt>
                <c:pt idx="127">
                  <c:v>12.615863482345585</c:v>
                </c:pt>
                <c:pt idx="128">
                  <c:v>7.9600717211454013</c:v>
                </c:pt>
                <c:pt idx="129">
                  <c:v>3.9894863253955477</c:v>
                </c:pt>
                <c:pt idx="130">
                  <c:v>3.9894863253955477</c:v>
                </c:pt>
                <c:pt idx="131">
                  <c:v>199.94796150188247</c:v>
                </c:pt>
                <c:pt idx="132">
                  <c:v>50.224657150457986</c:v>
                </c:pt>
                <c:pt idx="133">
                  <c:v>25.171956977116178</c:v>
                </c:pt>
                <c:pt idx="134">
                  <c:v>15.882431129650927</c:v>
                </c:pt>
                <c:pt idx="135">
                  <c:v>17.820380826648311</c:v>
                </c:pt>
                <c:pt idx="136">
                  <c:v>12.615863482345585</c:v>
                </c:pt>
                <c:pt idx="137">
                  <c:v>10.021136569454107</c:v>
                </c:pt>
                <c:pt idx="138">
                  <c:v>28.243400259219452</c:v>
                </c:pt>
                <c:pt idx="139">
                  <c:v>44.762772802791275</c:v>
                </c:pt>
                <c:pt idx="140">
                  <c:v>14.155231644145974</c:v>
                </c:pt>
                <c:pt idx="141">
                  <c:v>31.689616303081074</c:v>
                </c:pt>
                <c:pt idx="142">
                  <c:v>19.994796150188247</c:v>
                </c:pt>
                <c:pt idx="143">
                  <c:v>28.243400259219452</c:v>
                </c:pt>
                <c:pt idx="144">
                  <c:v>15.882431129650927</c:v>
                </c:pt>
                <c:pt idx="145">
                  <c:v>12.615863482345585</c:v>
                </c:pt>
                <c:pt idx="146">
                  <c:v>12.615863482345585</c:v>
                </c:pt>
                <c:pt idx="147">
                  <c:v>10.021136569454107</c:v>
                </c:pt>
                <c:pt idx="148">
                  <c:v>126.15863482345578</c:v>
                </c:pt>
                <c:pt idx="149">
                  <c:v>63.229097185361127</c:v>
                </c:pt>
                <c:pt idx="150">
                  <c:v>31.689616303081074</c:v>
                </c:pt>
                <c:pt idx="151">
                  <c:v>19.994796150188247</c:v>
                </c:pt>
                <c:pt idx="152">
                  <c:v>15.882431129650927</c:v>
                </c:pt>
                <c:pt idx="153">
                  <c:v>5.6352992183802844</c:v>
                </c:pt>
                <c:pt idx="154">
                  <c:v>5.6352992183802844</c:v>
                </c:pt>
                <c:pt idx="155">
                  <c:v>70.944213890827498</c:v>
                </c:pt>
                <c:pt idx="156">
                  <c:v>251.71956977116162</c:v>
                </c:pt>
                <c:pt idx="157">
                  <c:v>70.944213890827498</c:v>
                </c:pt>
                <c:pt idx="158">
                  <c:v>19.994796150188247</c:v>
                </c:pt>
                <c:pt idx="159">
                  <c:v>14.155231644145974</c:v>
                </c:pt>
                <c:pt idx="160">
                  <c:v>12.615863482345585</c:v>
                </c:pt>
                <c:pt idx="161">
                  <c:v>5.6352992183802844</c:v>
                </c:pt>
                <c:pt idx="162">
                  <c:v>3.9894863253955477</c:v>
                </c:pt>
                <c:pt idx="163">
                  <c:v>3.9894863253955477</c:v>
                </c:pt>
                <c:pt idx="164">
                  <c:v>89.313473686923544</c:v>
                </c:pt>
                <c:pt idx="165">
                  <c:v>79.600717211454111</c:v>
                </c:pt>
                <c:pt idx="166">
                  <c:v>28.243400259219452</c:v>
                </c:pt>
                <c:pt idx="167">
                  <c:v>19.994796150188247</c:v>
                </c:pt>
                <c:pt idx="168">
                  <c:v>12.615863482345585</c:v>
                </c:pt>
                <c:pt idx="169">
                  <c:v>7.9600717211454013</c:v>
                </c:pt>
                <c:pt idx="170">
                  <c:v>5.6352992183802844</c:v>
                </c:pt>
                <c:pt idx="171">
                  <c:v>158.82431129650914</c:v>
                </c:pt>
                <c:pt idx="172">
                  <c:v>39.894863253955457</c:v>
                </c:pt>
                <c:pt idx="173">
                  <c:v>25.171956977116178</c:v>
                </c:pt>
                <c:pt idx="174">
                  <c:v>17.820380826648311</c:v>
                </c:pt>
                <c:pt idx="175">
                  <c:v>14.155231644145974</c:v>
                </c:pt>
                <c:pt idx="176">
                  <c:v>3.9894863253955477</c:v>
                </c:pt>
                <c:pt idx="177">
                  <c:v>28.243400259219452</c:v>
                </c:pt>
                <c:pt idx="178">
                  <c:v>70.944213890827498</c:v>
                </c:pt>
                <c:pt idx="179">
                  <c:v>31.689616303081074</c:v>
                </c:pt>
                <c:pt idx="180">
                  <c:v>17.820380826648311</c:v>
                </c:pt>
                <c:pt idx="181">
                  <c:v>14.155231644145974</c:v>
                </c:pt>
                <c:pt idx="182">
                  <c:v>5.6352992183802844</c:v>
                </c:pt>
                <c:pt idx="183">
                  <c:v>3.9894863253955477</c:v>
                </c:pt>
              </c:numCache>
            </c:numRef>
          </c:yVal>
          <c:smooth val="0"/>
          <c:extLst>
            <c:ext xmlns:c16="http://schemas.microsoft.com/office/drawing/2014/chart" uri="{C3380CC4-5D6E-409C-BE32-E72D297353CC}">
              <c16:uniqueId val="{00000001-6D21-468E-B056-9FAA7398836C}"/>
            </c:ext>
          </c:extLst>
        </c:ser>
        <c:ser>
          <c:idx val="2"/>
          <c:order val="1"/>
          <c:tx>
            <c:v>USBM RI 8485 Coal Mines (Parting)</c:v>
          </c:tx>
          <c:spPr>
            <a:ln w="12700" cap="rnd">
              <a:solidFill>
                <a:srgbClr val="002060"/>
              </a:solidFill>
              <a:prstDash val="sysDot"/>
              <a:round/>
            </a:ln>
            <a:effectLst/>
          </c:spPr>
          <c:marker>
            <c:symbol val="none"/>
          </c:marker>
          <c:dPt>
            <c:idx val="1"/>
            <c:marker>
              <c:symbol val="none"/>
            </c:marker>
            <c:bubble3D val="0"/>
            <c:spPr>
              <a:ln w="12700" cap="rnd">
                <a:solidFill>
                  <a:srgbClr val="002060"/>
                </a:solidFill>
                <a:prstDash val="sysDot"/>
                <a:round/>
              </a:ln>
              <a:effectLst/>
            </c:spPr>
            <c:extLst>
              <c:ext xmlns:c16="http://schemas.microsoft.com/office/drawing/2014/chart" uri="{C3380CC4-5D6E-409C-BE32-E72D297353CC}">
                <c16:uniqueId val="{00000003-6D21-468E-B056-9FAA7398836C}"/>
              </c:ext>
            </c:extLst>
          </c:dPt>
          <c:xVal>
            <c:numRef>
              <c:f>AirBlast_Metric!$N$2:$N$3</c:f>
              <c:numCache>
                <c:formatCode>0</c:formatCode>
                <c:ptCount val="2"/>
                <c:pt idx="0">
                  <c:v>2</c:v>
                </c:pt>
                <c:pt idx="1">
                  <c:v>300</c:v>
                </c:pt>
              </c:numCache>
              <c:extLst xmlns:c15="http://schemas.microsoft.com/office/drawing/2012/chart"/>
            </c:numRef>
          </c:xVal>
          <c:yVal>
            <c:numRef>
              <c:f>(AirBlast_Metric!$O$11,AirBlast_Metric!$Q$11)</c:f>
              <c:numCache>
                <c:formatCode>#,##0.000</c:formatCode>
                <c:ptCount val="2"/>
                <c:pt idx="0">
                  <c:v>84457.086418181498</c:v>
                </c:pt>
                <c:pt idx="1">
                  <c:v>25.198126710492236</c:v>
                </c:pt>
              </c:numCache>
            </c:numRef>
          </c:yVal>
          <c:smooth val="0"/>
          <c:extLst>
            <c:ext xmlns:c16="http://schemas.microsoft.com/office/drawing/2014/chart" uri="{C3380CC4-5D6E-409C-BE32-E72D297353CC}">
              <c16:uniqueId val="{00000004-6D21-468E-B056-9FAA7398836C}"/>
            </c:ext>
          </c:extLst>
        </c:ser>
        <c:ser>
          <c:idx val="3"/>
          <c:order val="2"/>
          <c:tx>
            <c:v>USBM RI 8485 Coal Mines (Highwall)</c:v>
          </c:tx>
          <c:spPr>
            <a:ln w="12700" cap="rnd">
              <a:solidFill>
                <a:srgbClr val="7030A0"/>
              </a:solidFill>
              <a:prstDash val="sysDot"/>
              <a:round/>
            </a:ln>
            <a:effectLst/>
          </c:spPr>
          <c:marker>
            <c:symbol val="none"/>
          </c:marker>
          <c:xVal>
            <c:numRef>
              <c:f>AirBlast_Metric!$N$2:$N$3</c:f>
              <c:numCache>
                <c:formatCode>0</c:formatCode>
                <c:ptCount val="2"/>
                <c:pt idx="0">
                  <c:v>2</c:v>
                </c:pt>
                <c:pt idx="1">
                  <c:v>300</c:v>
                </c:pt>
              </c:numCache>
              <c:extLst xmlns:c15="http://schemas.microsoft.com/office/drawing/2012/chart"/>
            </c:numRef>
          </c:xVal>
          <c:yVal>
            <c:numRef>
              <c:f>(AirBlast_Metric!$O$12,AirBlast_Metric!$Q$12)</c:f>
              <c:numCache>
                <c:formatCode>#,##0.000</c:formatCode>
                <c:ptCount val="2"/>
                <c:pt idx="0">
                  <c:v>310.57077737856969</c:v>
                </c:pt>
                <c:pt idx="1">
                  <c:v>5.9299153588725932</c:v>
                </c:pt>
              </c:numCache>
            </c:numRef>
          </c:yVal>
          <c:smooth val="0"/>
          <c:extLst>
            <c:ext xmlns:c16="http://schemas.microsoft.com/office/drawing/2014/chart" uri="{C3380CC4-5D6E-409C-BE32-E72D297353CC}">
              <c16:uniqueId val="{00000005-6D21-468E-B056-9FAA7398836C}"/>
            </c:ext>
          </c:extLst>
        </c:ser>
        <c:ser>
          <c:idx val="1"/>
          <c:order val="3"/>
          <c:tx>
            <c:v>Upper Bound Line (95% Confidence)</c:v>
          </c:tx>
          <c:spPr>
            <a:ln w="25400" cap="rnd">
              <a:solidFill>
                <a:srgbClr val="C00000"/>
              </a:solidFill>
              <a:prstDash val="dash"/>
              <a:round/>
            </a:ln>
            <a:effectLst/>
          </c:spPr>
          <c:marker>
            <c:symbol val="none"/>
          </c:marker>
          <c:xVal>
            <c:numRef>
              <c:f>AirBlast_Metric!$N$2:$N$3</c:f>
              <c:numCache>
                <c:formatCode>0</c:formatCode>
                <c:ptCount val="2"/>
                <c:pt idx="0">
                  <c:v>2</c:v>
                </c:pt>
                <c:pt idx="1">
                  <c:v>300</c:v>
                </c:pt>
              </c:numCache>
            </c:numRef>
          </c:xVal>
          <c:yVal>
            <c:numRef>
              <c:f>AirBlast_Metric!$N$6:$N$7</c:f>
              <c:numCache>
                <c:formatCode>#,##0.000</c:formatCode>
                <c:ptCount val="2"/>
                <c:pt idx="0">
                  <c:v>791.28030517665388</c:v>
                </c:pt>
                <c:pt idx="1">
                  <c:v>9.4955827954657277</c:v>
                </c:pt>
              </c:numCache>
            </c:numRef>
          </c:yVal>
          <c:smooth val="0"/>
          <c:extLst>
            <c:ext xmlns:c16="http://schemas.microsoft.com/office/drawing/2014/chart" uri="{C3380CC4-5D6E-409C-BE32-E72D297353CC}">
              <c16:uniqueId val="{00000006-6D21-468E-B056-9FAA7398836C}"/>
            </c:ext>
          </c:extLst>
        </c:ser>
        <c:dLbls>
          <c:showLegendKey val="0"/>
          <c:showVal val="0"/>
          <c:showCatName val="0"/>
          <c:showSerName val="0"/>
          <c:showPercent val="0"/>
          <c:showBubbleSize val="0"/>
        </c:dLbls>
        <c:axId val="504819880"/>
        <c:axId val="504820272"/>
        <c:extLst/>
      </c:scatterChart>
      <c:valAx>
        <c:axId val="504819880"/>
        <c:scaling>
          <c:logBase val="10"/>
          <c:orientation val="minMax"/>
        </c:scaling>
        <c:delete val="0"/>
        <c:axPos val="b"/>
        <c:majorGridlines>
          <c:spPr>
            <a:ln w="9525" cap="flat" cmpd="sng" algn="ctr">
              <a:solidFill>
                <a:schemeClr val="tx1">
                  <a:lumMod val="50000"/>
                  <a:lumOff val="50000"/>
                </a:schemeClr>
              </a:solidFill>
              <a:round/>
            </a:ln>
            <a:effectLst/>
          </c:spPr>
        </c:majorGridlines>
        <c:minorGridlines>
          <c:spPr>
            <a:ln w="9525" cap="flat" cmpd="sng" algn="ctr">
              <a:solidFill>
                <a:schemeClr val="bg1">
                  <a:lumMod val="75000"/>
                </a:schemeClr>
              </a:solidFill>
              <a:round/>
            </a:ln>
            <a:effectLst/>
          </c:spPr>
        </c:minorGridlines>
        <c:title>
          <c:tx>
            <c:rich>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SD</a:t>
                </a:r>
                <a:r>
                  <a:rPr lang="en-US" b="1" baseline="-25000"/>
                  <a:t>3</a:t>
                </a:r>
                <a:r>
                  <a:rPr lang="en-US" b="1" baseline="0"/>
                  <a:t> (m/kg</a:t>
                </a:r>
                <a:r>
                  <a:rPr lang="en-US" b="1" baseline="30000"/>
                  <a:t>1/3</a:t>
                </a:r>
                <a:r>
                  <a:rPr lang="en-US" b="1" baseline="0"/>
                  <a:t>)</a:t>
                </a:r>
              </a:p>
            </c:rich>
          </c:tx>
          <c:layout>
            <c:manualLayout>
              <c:xMode val="edge"/>
              <c:yMode val="edge"/>
              <c:x val="0.44715043945800931"/>
              <c:y val="0.93911836777978508"/>
            </c:manualLayout>
          </c:layout>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4820272"/>
        <c:crossesAt val="1.0000000000000003E-4"/>
        <c:crossBetween val="midCat"/>
      </c:valAx>
      <c:valAx>
        <c:axId val="504820272"/>
        <c:scaling>
          <c:logBase val="10"/>
          <c:orientation val="minMax"/>
          <c:max val="1000"/>
        </c:scaling>
        <c:delete val="0"/>
        <c:axPos val="l"/>
        <c:majorGridlines>
          <c:spPr>
            <a:ln w="9525" cap="flat" cmpd="sng" algn="ctr">
              <a:solidFill>
                <a:schemeClr val="tx1">
                  <a:lumMod val="50000"/>
                  <a:lumOff val="50000"/>
                </a:schemeClr>
              </a:solidFill>
              <a:round/>
            </a:ln>
            <a:effectLst/>
          </c:spPr>
        </c:majorGridlines>
        <c:minorGridlines>
          <c:spPr>
            <a:ln w="9525" cap="flat" cmpd="sng" algn="ctr">
              <a:solidFill>
                <a:schemeClr val="bg1">
                  <a:lumMod val="75000"/>
                </a:schemeClr>
              </a:solidFill>
              <a:round/>
            </a:ln>
            <a:effectLst/>
          </c:spPr>
        </c:min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baseline="0"/>
                  <a:t>AB (Pa</a:t>
                </a:r>
                <a:r>
                  <a:rPr lang="en-US" b="1"/>
                  <a:t>)</a:t>
                </a:r>
              </a:p>
            </c:rich>
          </c:tx>
          <c:layout>
            <c:manualLayout>
              <c:xMode val="edge"/>
              <c:yMode val="edge"/>
              <c:x val="4.3784340401449441E-2"/>
              <c:y val="0.46620020982225707"/>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4819880"/>
        <c:crosses val="autoZero"/>
        <c:crossBetween val="midCat"/>
      </c:valAx>
      <c:spPr>
        <a:solidFill>
          <a:schemeClr val="bg1"/>
        </a:solidFill>
        <a:ln w="9525">
          <a:solidFill>
            <a:schemeClr val="tx1"/>
          </a:solidFill>
        </a:ln>
        <a:effectLst/>
      </c:spPr>
    </c:plotArea>
    <c:legend>
      <c:legendPos val="b"/>
      <c:layout>
        <c:manualLayout>
          <c:xMode val="edge"/>
          <c:yMode val="edge"/>
          <c:x val="0.15808292432502741"/>
          <c:y val="0.74830949161657823"/>
          <c:w val="0.40343353698887979"/>
          <c:h val="0.13432639101930444"/>
        </c:manualLayout>
      </c:layout>
      <c:overlay val="0"/>
      <c:spPr>
        <a:solidFill>
          <a:schemeClr val="bg1"/>
        </a:solidFill>
        <a:ln>
          <a:solidFill>
            <a:schemeClr val="bg1">
              <a:lumMod val="75000"/>
            </a:schemeClr>
          </a:solidFill>
        </a:ln>
        <a:effectLst>
          <a:outerShdw blurRad="50800" dist="38100" dir="18900000" algn="bl" rotWithShape="0">
            <a:prstClr val="black">
              <a:alpha val="40000"/>
            </a:prstClr>
          </a:outerShdw>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23813</xdr:colOff>
      <xdr:row>4</xdr:row>
      <xdr:rowOff>4761</xdr:rowOff>
    </xdr:from>
    <xdr:to>
      <xdr:col>10</xdr:col>
      <xdr:colOff>585787</xdr:colOff>
      <xdr:row>38</xdr:row>
      <xdr:rowOff>133350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4</xdr:row>
      <xdr:rowOff>9524</xdr:rowOff>
    </xdr:from>
    <xdr:to>
      <xdr:col>10</xdr:col>
      <xdr:colOff>590550</xdr:colOff>
      <xdr:row>38</xdr:row>
      <xdr:rowOff>190499</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28576</xdr:colOff>
      <xdr:row>4</xdr:row>
      <xdr:rowOff>9525</xdr:rowOff>
    </xdr:from>
    <xdr:to>
      <xdr:col>10</xdr:col>
      <xdr:colOff>590550</xdr:colOff>
      <xdr:row>38</xdr:row>
      <xdr:rowOff>180975</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28577</xdr:colOff>
      <xdr:row>4</xdr:row>
      <xdr:rowOff>9525</xdr:rowOff>
    </xdr:from>
    <xdr:to>
      <xdr:col>10</xdr:col>
      <xdr:colOff>590551</xdr:colOff>
      <xdr:row>38</xdr:row>
      <xdr:rowOff>180975</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farmer@osmre.gov" TargetMode="External"/><Relationship Id="rId1" Type="http://schemas.openxmlformats.org/officeDocument/2006/relationships/hyperlink" Target="mailto:keltschlager@osmre.gov"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V238"/>
  <sheetViews>
    <sheetView showZeros="0" tabSelected="1" view="pageBreakPreview" zoomScaleNormal="100" zoomScaleSheetLayoutView="100" workbookViewId="0">
      <pane ySplit="6" topLeftCell="A7" activePane="bottomLeft" state="frozen"/>
      <selection activeCell="C1" sqref="C1:F1"/>
      <selection pane="bottomLeft" activeCell="H3" sqref="H3:J3"/>
    </sheetView>
  </sheetViews>
  <sheetFormatPr defaultColWidth="9.109375" defaultRowHeight="18.75" customHeight="1" x14ac:dyDescent="0.3"/>
  <cols>
    <col min="1" max="1" width="9.109375" style="53" customWidth="1"/>
    <col min="2" max="2" width="14.33203125" style="187" customWidth="1"/>
    <col min="3" max="3" width="14.88671875" style="188" bestFit="1" customWidth="1"/>
    <col min="4" max="5" width="17.109375" style="74" customWidth="1"/>
    <col min="6" max="6" width="17.109375" style="194" customWidth="1"/>
    <col min="7" max="7" width="14.33203125" style="74" customWidth="1"/>
    <col min="8" max="8" width="21.44140625" style="195" customWidth="1"/>
    <col min="9" max="9" width="14.5546875" style="196" bestFit="1" customWidth="1"/>
    <col min="10" max="10" width="14.5546875" style="195" customWidth="1"/>
    <col min="11" max="11" width="14.5546875" style="181" customWidth="1"/>
    <col min="12" max="12" width="21.44140625" style="195" customWidth="1"/>
    <col min="13" max="13" width="14.33203125" style="192" customWidth="1"/>
    <col min="14" max="14" width="17.109375" style="192" customWidth="1"/>
    <col min="15" max="20" width="11.44140625" style="62" customWidth="1"/>
    <col min="21" max="21" width="11" style="62" customWidth="1"/>
    <col min="22" max="22" width="9.109375" style="62"/>
    <col min="23" max="16384" width="9.109375" style="63"/>
  </cols>
  <sheetData>
    <row r="1" spans="1:22" s="165" customFormat="1" ht="18.75" customHeight="1" x14ac:dyDescent="0.3">
      <c r="A1" s="210" t="s">
        <v>50</v>
      </c>
      <c r="B1" s="211"/>
      <c r="C1" s="201" t="s">
        <v>54</v>
      </c>
      <c r="D1" s="202"/>
      <c r="E1" s="202"/>
      <c r="F1" s="209"/>
      <c r="G1" s="76" t="s">
        <v>112</v>
      </c>
      <c r="H1" s="201" t="s">
        <v>137</v>
      </c>
      <c r="I1" s="202"/>
      <c r="J1" s="202"/>
      <c r="K1" s="202"/>
      <c r="L1" s="76" t="s">
        <v>52</v>
      </c>
      <c r="M1" s="205">
        <v>43466</v>
      </c>
      <c r="N1" s="206"/>
      <c r="O1" s="34"/>
      <c r="P1" s="34"/>
      <c r="Q1" s="34"/>
      <c r="R1" s="34"/>
      <c r="S1" s="34"/>
    </row>
    <row r="2" spans="1:22" s="165" customFormat="1" ht="18.75" customHeight="1" x14ac:dyDescent="0.3">
      <c r="A2" s="210" t="s">
        <v>51</v>
      </c>
      <c r="B2" s="211"/>
      <c r="C2" s="201" t="s">
        <v>136</v>
      </c>
      <c r="D2" s="202"/>
      <c r="E2" s="202"/>
      <c r="F2" s="209"/>
      <c r="G2" s="76" t="s">
        <v>57</v>
      </c>
      <c r="H2" s="207" t="s">
        <v>58</v>
      </c>
      <c r="I2" s="208"/>
      <c r="J2" s="208"/>
      <c r="K2" s="208"/>
      <c r="L2" s="76" t="s">
        <v>53</v>
      </c>
      <c r="M2" s="201" t="s">
        <v>55</v>
      </c>
      <c r="N2" s="202"/>
      <c r="O2" s="34"/>
      <c r="P2" s="34"/>
      <c r="Q2" s="34"/>
      <c r="R2" s="34"/>
      <c r="S2" s="34"/>
    </row>
    <row r="3" spans="1:22" s="165" customFormat="1" ht="18.75" customHeight="1" x14ac:dyDescent="0.3">
      <c r="A3" s="203" t="s">
        <v>160</v>
      </c>
      <c r="B3" s="204"/>
      <c r="C3" s="204"/>
      <c r="D3" s="204"/>
      <c r="E3" s="204"/>
      <c r="F3" s="204"/>
      <c r="G3" s="204"/>
      <c r="H3" s="197" t="s">
        <v>85</v>
      </c>
      <c r="I3" s="198"/>
      <c r="J3" s="199"/>
      <c r="K3" s="200" t="s">
        <v>111</v>
      </c>
      <c r="L3" s="198"/>
      <c r="M3" s="198"/>
      <c r="N3" s="199"/>
      <c r="O3" s="164"/>
      <c r="P3" s="37"/>
      <c r="Q3" s="37"/>
      <c r="R3" s="37"/>
      <c r="S3" s="37"/>
      <c r="T3" s="38"/>
      <c r="U3" s="38"/>
    </row>
    <row r="4" spans="1:22" s="44" customFormat="1" ht="18.75" customHeight="1" x14ac:dyDescent="0.4">
      <c r="A4" s="39" t="s">
        <v>159</v>
      </c>
      <c r="B4" s="39" t="s">
        <v>159</v>
      </c>
      <c r="C4" s="39" t="s">
        <v>3</v>
      </c>
      <c r="D4" s="39" t="s">
        <v>4</v>
      </c>
      <c r="E4" s="39" t="s">
        <v>5</v>
      </c>
      <c r="F4" s="39" t="s">
        <v>6</v>
      </c>
      <c r="G4" s="40" t="s">
        <v>49</v>
      </c>
      <c r="H4" s="77" t="s">
        <v>141</v>
      </c>
      <c r="I4" s="77" t="s">
        <v>47</v>
      </c>
      <c r="J4" s="77" t="s">
        <v>7</v>
      </c>
      <c r="K4" s="77" t="s">
        <v>100</v>
      </c>
      <c r="L4" s="77" t="s">
        <v>143</v>
      </c>
      <c r="M4" s="77" t="s">
        <v>48</v>
      </c>
      <c r="N4" s="77" t="s">
        <v>101</v>
      </c>
      <c r="O4" s="43"/>
      <c r="P4" s="43"/>
      <c r="Q4" s="43"/>
      <c r="R4" s="43"/>
      <c r="S4" s="43"/>
      <c r="T4" s="43"/>
      <c r="V4" s="43"/>
    </row>
    <row r="5" spans="1:22" s="44" customFormat="1" ht="18.75" customHeight="1" x14ac:dyDescent="0.3">
      <c r="A5" s="75" t="s">
        <v>0</v>
      </c>
      <c r="B5" s="75" t="s">
        <v>1</v>
      </c>
      <c r="C5" s="45" t="s">
        <v>139</v>
      </c>
      <c r="D5" s="45" t="s">
        <v>140</v>
      </c>
      <c r="E5" s="45" t="s">
        <v>86</v>
      </c>
      <c r="F5" s="45" t="s">
        <v>87</v>
      </c>
      <c r="G5" s="46" t="s">
        <v>99</v>
      </c>
      <c r="H5" s="78" t="s">
        <v>142</v>
      </c>
      <c r="I5" s="78"/>
      <c r="J5" s="78"/>
      <c r="K5" s="78"/>
      <c r="L5" s="78" t="s">
        <v>144</v>
      </c>
      <c r="M5" s="78"/>
      <c r="N5" s="78"/>
      <c r="O5" s="43"/>
      <c r="P5" s="43"/>
      <c r="Q5" s="43"/>
      <c r="R5" s="43"/>
      <c r="S5" s="43"/>
      <c r="T5" s="43"/>
      <c r="V5" s="43"/>
    </row>
    <row r="6" spans="1:22" s="44" customFormat="1" ht="18.75" customHeight="1" x14ac:dyDescent="0.3">
      <c r="B6" s="44" t="s">
        <v>2</v>
      </c>
      <c r="D6" s="44" t="s">
        <v>60</v>
      </c>
      <c r="E6" s="44" t="s">
        <v>61</v>
      </c>
      <c r="F6" s="44" t="s">
        <v>62</v>
      </c>
      <c r="G6" s="49" t="s">
        <v>59</v>
      </c>
      <c r="H6" s="79" t="s">
        <v>65</v>
      </c>
      <c r="I6" s="79" t="s">
        <v>65</v>
      </c>
      <c r="J6" s="79" t="s">
        <v>62</v>
      </c>
      <c r="K6" s="79" t="s">
        <v>63</v>
      </c>
      <c r="L6" s="79" t="s">
        <v>64</v>
      </c>
      <c r="M6" s="79" t="s">
        <v>64</v>
      </c>
      <c r="N6" s="79" t="s">
        <v>63</v>
      </c>
      <c r="O6" s="43"/>
      <c r="P6" s="43"/>
      <c r="Q6" s="43"/>
      <c r="R6" s="43"/>
      <c r="S6" s="43"/>
      <c r="T6" s="43"/>
      <c r="V6" s="43"/>
    </row>
    <row r="7" spans="1:22" ht="18.75" customHeight="1" x14ac:dyDescent="0.3">
      <c r="A7" s="53">
        <v>1</v>
      </c>
      <c r="B7" s="2">
        <v>36996</v>
      </c>
      <c r="C7" s="89" t="s">
        <v>8</v>
      </c>
      <c r="D7" s="8">
        <v>50</v>
      </c>
      <c r="E7" s="10">
        <v>426.5</v>
      </c>
      <c r="F7" s="4">
        <v>5.08</v>
      </c>
      <c r="G7" s="3">
        <v>139</v>
      </c>
      <c r="H7" s="80">
        <f>IF(OR(D7="",E7="",D7=0,E7=0),NA(),D7/(E7^0.5))</f>
        <v>2.4210875062207955</v>
      </c>
      <c r="I7" s="81">
        <f>IFERROR(LOG(H7),NA())</f>
        <v>0.38401048658424791</v>
      </c>
      <c r="J7" s="80">
        <f>IFERROR(LOG(F7),NA())</f>
        <v>0.70586371228391931</v>
      </c>
      <c r="K7" s="82">
        <f>IF(OR(G7=0,G7=""),NA(),(10^(G7/20))*0.0000000029)</f>
        <v>2.5846277205878648E-2</v>
      </c>
      <c r="L7" s="80">
        <f>IF(OR(D7="",D7=0,E7="",E7=0),NA(),D7/(E7^(1/3)))</f>
        <v>6.6424810764239437</v>
      </c>
      <c r="M7" s="83">
        <f>IFERROR(LOG(L7),NA())</f>
        <v>0.82233032583483812</v>
      </c>
      <c r="N7" s="83">
        <f>IFERROR(LOG(K7),NA())</f>
        <v>-1.5876020021010435</v>
      </c>
    </row>
    <row r="8" spans="1:22" ht="18.75" customHeight="1" x14ac:dyDescent="0.3">
      <c r="A8" s="53">
        <v>2</v>
      </c>
      <c r="B8" s="2">
        <v>36996</v>
      </c>
      <c r="C8" s="89" t="s">
        <v>9</v>
      </c>
      <c r="D8" s="8">
        <v>359</v>
      </c>
      <c r="E8" s="10">
        <v>426.5</v>
      </c>
      <c r="F8" s="4">
        <v>4.4800000000000004</v>
      </c>
      <c r="G8" s="3">
        <v>130</v>
      </c>
      <c r="H8" s="80">
        <f t="shared" ref="H8:H71" si="0">IF(OR(D8="",E8="",D8=0,E8=0),NA(),D8/(E8^0.5))</f>
        <v>17.383408294665312</v>
      </c>
      <c r="I8" s="81">
        <f t="shared" ref="I8:I71" si="1">IFERROR(LOG(H8),NA())</f>
        <v>1.2401349308265484</v>
      </c>
      <c r="J8" s="80">
        <f t="shared" ref="J8:J71" si="2">IFERROR(LOG(F8),NA())</f>
        <v>0.651278013998144</v>
      </c>
      <c r="K8" s="82">
        <f t="shared" ref="K8:K71" si="3">IF(OR(G8=0,G8=""),NA(),(10^(G8/20))*0.0000000029)</f>
        <v>9.1706052144883161E-3</v>
      </c>
      <c r="L8" s="80">
        <f t="shared" ref="L8:L71" si="4">IF(OR(D8="",D8=0,E8="",E8=0),NA(),D8/(E8^(1/3)))</f>
        <v>47.693014128723917</v>
      </c>
      <c r="M8" s="83">
        <f t="shared" ref="M8:M71" si="5">IFERROR(LOG(L8),NA())</f>
        <v>1.6784547700771386</v>
      </c>
      <c r="N8" s="83">
        <f t="shared" ref="N8:N71" si="6">IFERROR(LOG(K8),NA())</f>
        <v>-2.037602002101043</v>
      </c>
    </row>
    <row r="9" spans="1:22" ht="18.75" customHeight="1" x14ac:dyDescent="0.3">
      <c r="A9" s="53">
        <v>3</v>
      </c>
      <c r="B9" s="2">
        <v>36996</v>
      </c>
      <c r="C9" s="89" t="s">
        <v>10</v>
      </c>
      <c r="D9" s="8">
        <v>680</v>
      </c>
      <c r="E9" s="10">
        <v>426.5</v>
      </c>
      <c r="F9" s="4">
        <v>1.8</v>
      </c>
      <c r="G9" s="3">
        <v>126</v>
      </c>
      <c r="H9" s="80">
        <f t="shared" si="0"/>
        <v>32.926790084602814</v>
      </c>
      <c r="I9" s="81">
        <f t="shared" si="1"/>
        <v>1.5175493949544654</v>
      </c>
      <c r="J9" s="80">
        <f t="shared" si="2"/>
        <v>0.25527250510330607</v>
      </c>
      <c r="K9" s="82">
        <f t="shared" si="3"/>
        <v>5.7862607134097519E-3</v>
      </c>
      <c r="L9" s="80">
        <f t="shared" si="4"/>
        <v>90.337742639365644</v>
      </c>
      <c r="M9" s="83">
        <f t="shared" si="5"/>
        <v>1.9558692342050557</v>
      </c>
      <c r="N9" s="83">
        <f t="shared" si="6"/>
        <v>-2.2376020021010437</v>
      </c>
    </row>
    <row r="10" spans="1:22" ht="18.75" customHeight="1" x14ac:dyDescent="0.3">
      <c r="A10" s="53">
        <v>4</v>
      </c>
      <c r="B10" s="2">
        <v>36996</v>
      </c>
      <c r="C10" s="89" t="s">
        <v>11</v>
      </c>
      <c r="D10" s="8">
        <v>995</v>
      </c>
      <c r="E10" s="10">
        <v>426.5</v>
      </c>
      <c r="F10" s="4">
        <v>0.69</v>
      </c>
      <c r="G10" s="3">
        <v>122</v>
      </c>
      <c r="H10" s="80">
        <f t="shared" si="0"/>
        <v>48.179641373793828</v>
      </c>
      <c r="I10" s="81">
        <f t="shared" si="1"/>
        <v>1.6828635629939546</v>
      </c>
      <c r="J10" s="80">
        <f t="shared" si="2"/>
        <v>-0.16115090926274472</v>
      </c>
      <c r="K10" s="82">
        <f t="shared" si="3"/>
        <v>3.6508836942030862E-3</v>
      </c>
      <c r="L10" s="80">
        <f t="shared" si="4"/>
        <v>132.1853734208365</v>
      </c>
      <c r="M10" s="83">
        <f t="shared" si="5"/>
        <v>2.121183402244545</v>
      </c>
      <c r="N10" s="83">
        <f t="shared" si="6"/>
        <v>-2.4376020021010438</v>
      </c>
    </row>
    <row r="11" spans="1:22" ht="18.75" customHeight="1" x14ac:dyDescent="0.3">
      <c r="A11" s="53">
        <v>5</v>
      </c>
      <c r="B11" s="2">
        <v>36996</v>
      </c>
      <c r="C11" s="89" t="s">
        <v>12</v>
      </c>
      <c r="D11" s="8">
        <v>1214</v>
      </c>
      <c r="E11" s="10">
        <v>426.5</v>
      </c>
      <c r="F11" s="4">
        <v>0.38</v>
      </c>
      <c r="G11" s="3">
        <v>119</v>
      </c>
      <c r="H11" s="80">
        <f t="shared" si="0"/>
        <v>58.78400465104091</v>
      </c>
      <c r="I11" s="81">
        <f t="shared" si="1"/>
        <v>1.7692591689874679</v>
      </c>
      <c r="J11" s="80">
        <f t="shared" si="2"/>
        <v>-0.42021640338318983</v>
      </c>
      <c r="K11" s="82">
        <f t="shared" si="3"/>
        <v>2.5846277205878667E-3</v>
      </c>
      <c r="L11" s="80">
        <f t="shared" si="4"/>
        <v>161.27944053557337</v>
      </c>
      <c r="M11" s="83">
        <f t="shared" si="5"/>
        <v>2.2075790082380582</v>
      </c>
      <c r="N11" s="83">
        <f t="shared" si="6"/>
        <v>-2.5876020021010433</v>
      </c>
    </row>
    <row r="12" spans="1:22" ht="18.75" customHeight="1" x14ac:dyDescent="0.3">
      <c r="A12" s="53">
        <v>6</v>
      </c>
      <c r="B12" s="2">
        <v>36996</v>
      </c>
      <c r="C12" s="89" t="s">
        <v>13</v>
      </c>
      <c r="D12" s="8">
        <v>2904</v>
      </c>
      <c r="E12" s="10">
        <v>426.5</v>
      </c>
      <c r="F12" s="4">
        <v>0.05</v>
      </c>
      <c r="G12" s="3">
        <v>112</v>
      </c>
      <c r="H12" s="80">
        <f t="shared" si="0"/>
        <v>140.61676236130378</v>
      </c>
      <c r="I12" s="81">
        <f t="shared" si="1"/>
        <v>2.148037094276285</v>
      </c>
      <c r="J12" s="80">
        <f t="shared" si="2"/>
        <v>-1.3010299956639813</v>
      </c>
      <c r="K12" s="82">
        <f t="shared" si="3"/>
        <v>1.1545107946051418E-3</v>
      </c>
      <c r="L12" s="80">
        <f t="shared" si="4"/>
        <v>385.79530091870265</v>
      </c>
      <c r="M12" s="83">
        <f t="shared" si="5"/>
        <v>2.5863569335268757</v>
      </c>
      <c r="N12" s="83">
        <f t="shared" si="6"/>
        <v>-2.9376020021010438</v>
      </c>
    </row>
    <row r="13" spans="1:22" ht="18.75" customHeight="1" x14ac:dyDescent="0.3">
      <c r="A13" s="53">
        <v>7</v>
      </c>
      <c r="B13" s="2">
        <v>36996</v>
      </c>
      <c r="C13" s="89" t="s">
        <v>14</v>
      </c>
      <c r="D13" s="8">
        <v>3274</v>
      </c>
      <c r="E13" s="10">
        <v>426.5</v>
      </c>
      <c r="F13" s="4">
        <v>0.03</v>
      </c>
      <c r="G13" s="3">
        <v>109</v>
      </c>
      <c r="H13" s="80">
        <f t="shared" si="0"/>
        <v>158.53280990733768</v>
      </c>
      <c r="I13" s="81">
        <f t="shared" si="1"/>
        <v>2.2001191573241519</v>
      </c>
      <c r="J13" s="80">
        <f t="shared" si="2"/>
        <v>-1.5228787452803376</v>
      </c>
      <c r="K13" s="82">
        <f t="shared" si="3"/>
        <v>8.1733105006669257E-4</v>
      </c>
      <c r="L13" s="80">
        <f t="shared" si="4"/>
        <v>434.94966088423985</v>
      </c>
      <c r="M13" s="83">
        <f t="shared" si="5"/>
        <v>2.6384389965747421</v>
      </c>
      <c r="N13" s="83">
        <f t="shared" si="6"/>
        <v>-3.0876020021010433</v>
      </c>
    </row>
    <row r="14" spans="1:22" ht="18.75" customHeight="1" x14ac:dyDescent="0.3">
      <c r="A14" s="53">
        <v>8</v>
      </c>
      <c r="B14" s="2">
        <v>37092</v>
      </c>
      <c r="C14" s="89" t="s">
        <v>15</v>
      </c>
      <c r="D14" s="8">
        <v>50</v>
      </c>
      <c r="E14" s="10">
        <v>360</v>
      </c>
      <c r="F14" s="4">
        <v>6.96</v>
      </c>
      <c r="G14" s="3">
        <v>135</v>
      </c>
      <c r="H14" s="80">
        <f t="shared" si="0"/>
        <v>2.6352313834736494</v>
      </c>
      <c r="I14" s="81">
        <f t="shared" si="1"/>
        <v>0.42081875395237517</v>
      </c>
      <c r="J14" s="80">
        <f t="shared" si="2"/>
        <v>0.84260923961056211</v>
      </c>
      <c r="K14" s="82">
        <f t="shared" si="3"/>
        <v>1.6307898430520142E-2</v>
      </c>
      <c r="L14" s="80">
        <f t="shared" si="4"/>
        <v>7.0286055441812438</v>
      </c>
      <c r="M14" s="83">
        <f t="shared" si="5"/>
        <v>0.84686917074692303</v>
      </c>
      <c r="N14" s="83">
        <f t="shared" si="6"/>
        <v>-1.7876020021010435</v>
      </c>
    </row>
    <row r="15" spans="1:22" ht="18.75" customHeight="1" x14ac:dyDescent="0.3">
      <c r="A15" s="53">
        <v>9</v>
      </c>
      <c r="B15" s="2">
        <v>37092</v>
      </c>
      <c r="C15" s="89" t="s">
        <v>16</v>
      </c>
      <c r="D15" s="8">
        <v>324</v>
      </c>
      <c r="E15" s="10">
        <v>360</v>
      </c>
      <c r="F15" s="4">
        <v>1.6</v>
      </c>
      <c r="G15" s="3">
        <v>125</v>
      </c>
      <c r="H15" s="80">
        <f t="shared" si="0"/>
        <v>17.076299364909246</v>
      </c>
      <c r="I15" s="81">
        <f t="shared" si="1"/>
        <v>1.2323937598229684</v>
      </c>
      <c r="J15" s="80">
        <f t="shared" si="2"/>
        <v>0.20411998265592479</v>
      </c>
      <c r="K15" s="82">
        <f t="shared" si="3"/>
        <v>5.1570102891128795E-3</v>
      </c>
      <c r="L15" s="80">
        <f t="shared" si="4"/>
        <v>45.545363926294463</v>
      </c>
      <c r="M15" s="83">
        <f t="shared" si="5"/>
        <v>1.6584441766175164</v>
      </c>
      <c r="N15" s="83">
        <f t="shared" si="6"/>
        <v>-2.2876020021010435</v>
      </c>
    </row>
    <row r="16" spans="1:22" ht="18.75" customHeight="1" x14ac:dyDescent="0.3">
      <c r="A16" s="53">
        <v>10</v>
      </c>
      <c r="B16" s="2">
        <v>37092</v>
      </c>
      <c r="C16" s="89" t="s">
        <v>17</v>
      </c>
      <c r="D16" s="8">
        <v>711</v>
      </c>
      <c r="E16" s="10">
        <v>360</v>
      </c>
      <c r="F16" s="4">
        <v>0.43</v>
      </c>
      <c r="G16" s="3">
        <v>121</v>
      </c>
      <c r="H16" s="80">
        <f t="shared" si="0"/>
        <v>37.472990272995297</v>
      </c>
      <c r="I16" s="81">
        <f t="shared" si="1"/>
        <v>1.5737183503461227</v>
      </c>
      <c r="J16" s="80">
        <f t="shared" si="2"/>
        <v>-0.36653154442041347</v>
      </c>
      <c r="K16" s="82">
        <f t="shared" si="3"/>
        <v>3.2538535174756961E-3</v>
      </c>
      <c r="L16" s="80">
        <f t="shared" si="4"/>
        <v>99.946770838257294</v>
      </c>
      <c r="M16" s="83">
        <f t="shared" si="5"/>
        <v>1.9997687671406705</v>
      </c>
      <c r="N16" s="83">
        <f t="shared" si="6"/>
        <v>-2.4876020021010437</v>
      </c>
    </row>
    <row r="17" spans="1:14" ht="18.75" customHeight="1" x14ac:dyDescent="0.3">
      <c r="A17" s="53">
        <v>11</v>
      </c>
      <c r="B17" s="2">
        <v>37092</v>
      </c>
      <c r="C17" s="89" t="s">
        <v>18</v>
      </c>
      <c r="D17" s="8">
        <v>1108</v>
      </c>
      <c r="E17" s="10">
        <v>360</v>
      </c>
      <c r="F17" s="4">
        <v>0.27</v>
      </c>
      <c r="G17" s="3">
        <v>117</v>
      </c>
      <c r="H17" s="80">
        <f t="shared" si="0"/>
        <v>58.396727457776073</v>
      </c>
      <c r="I17" s="81">
        <f t="shared" si="1"/>
        <v>1.7663885100087673</v>
      </c>
      <c r="J17" s="80">
        <f t="shared" si="2"/>
        <v>-0.56863623584101264</v>
      </c>
      <c r="K17" s="82">
        <f t="shared" si="3"/>
        <v>2.0530427747140019E-3</v>
      </c>
      <c r="L17" s="80">
        <f t="shared" si="4"/>
        <v>155.75389885905636</v>
      </c>
      <c r="M17" s="83">
        <f t="shared" si="5"/>
        <v>2.1924389268033151</v>
      </c>
      <c r="N17" s="83">
        <f t="shared" si="6"/>
        <v>-2.6876020021010434</v>
      </c>
    </row>
    <row r="18" spans="1:14" ht="18.75" customHeight="1" x14ac:dyDescent="0.3">
      <c r="A18" s="53">
        <v>12</v>
      </c>
      <c r="B18" s="2">
        <v>37092</v>
      </c>
      <c r="C18" s="89" t="s">
        <v>19</v>
      </c>
      <c r="D18" s="8">
        <v>1295</v>
      </c>
      <c r="E18" s="10">
        <v>360</v>
      </c>
      <c r="F18" s="4">
        <v>0.24</v>
      </c>
      <c r="G18" s="3">
        <v>116</v>
      </c>
      <c r="H18" s="80">
        <f t="shared" si="0"/>
        <v>68.252492831967515</v>
      </c>
      <c r="I18" s="81">
        <f t="shared" si="1"/>
        <v>1.834118518033627</v>
      </c>
      <c r="J18" s="80">
        <f t="shared" si="2"/>
        <v>-0.61978875828839397</v>
      </c>
      <c r="K18" s="82">
        <f t="shared" si="3"/>
        <v>1.8297762989925629E-3</v>
      </c>
      <c r="L18" s="80">
        <f t="shared" si="4"/>
        <v>182.04088359429423</v>
      </c>
      <c r="M18" s="83">
        <f t="shared" si="5"/>
        <v>2.260168934828175</v>
      </c>
      <c r="N18" s="83">
        <f t="shared" si="6"/>
        <v>-2.7376020021010432</v>
      </c>
    </row>
    <row r="19" spans="1:14" ht="18.75" customHeight="1" x14ac:dyDescent="0.3">
      <c r="A19" s="53">
        <v>13</v>
      </c>
      <c r="B19" s="2">
        <v>37092</v>
      </c>
      <c r="C19" s="89" t="s">
        <v>20</v>
      </c>
      <c r="D19" s="8">
        <v>1690</v>
      </c>
      <c r="E19" s="10">
        <v>360</v>
      </c>
      <c r="F19" s="4">
        <v>0.2</v>
      </c>
      <c r="G19" s="3">
        <v>112</v>
      </c>
      <c r="H19" s="80">
        <f t="shared" si="0"/>
        <v>89.070820761409351</v>
      </c>
      <c r="I19" s="81">
        <f t="shared" si="1"/>
        <v>1.9497354542300298</v>
      </c>
      <c r="J19" s="80">
        <f t="shared" si="2"/>
        <v>-0.69897000433601875</v>
      </c>
      <c r="K19" s="82">
        <f t="shared" si="3"/>
        <v>1.1545107946051418E-3</v>
      </c>
      <c r="L19" s="80">
        <f t="shared" si="4"/>
        <v>237.56686739332605</v>
      </c>
      <c r="M19" s="83">
        <f t="shared" si="5"/>
        <v>2.3757858710245778</v>
      </c>
      <c r="N19" s="83">
        <f t="shared" si="6"/>
        <v>-2.9376020021010438</v>
      </c>
    </row>
    <row r="20" spans="1:14" ht="18.75" customHeight="1" x14ac:dyDescent="0.3">
      <c r="A20" s="53">
        <v>14</v>
      </c>
      <c r="B20" s="2">
        <v>37092</v>
      </c>
      <c r="C20" s="89" t="s">
        <v>21</v>
      </c>
      <c r="D20" s="8">
        <v>2218</v>
      </c>
      <c r="E20" s="10">
        <v>360</v>
      </c>
      <c r="F20" s="4">
        <v>0.09</v>
      </c>
      <c r="G20" s="3">
        <v>109</v>
      </c>
      <c r="H20" s="80">
        <f t="shared" si="0"/>
        <v>116.89886417089109</v>
      </c>
      <c r="I20" s="81">
        <f t="shared" si="1"/>
        <v>2.0678102914294976</v>
      </c>
      <c r="J20" s="80">
        <f t="shared" si="2"/>
        <v>-1.0457574905606752</v>
      </c>
      <c r="K20" s="82">
        <f t="shared" si="3"/>
        <v>8.1733105006669257E-4</v>
      </c>
      <c r="L20" s="80">
        <f t="shared" si="4"/>
        <v>311.78894193987998</v>
      </c>
      <c r="M20" s="83">
        <f t="shared" si="5"/>
        <v>2.4938607082240454</v>
      </c>
      <c r="N20" s="83">
        <f t="shared" si="6"/>
        <v>-3.0876020021010433</v>
      </c>
    </row>
    <row r="21" spans="1:14" ht="18.75" customHeight="1" x14ac:dyDescent="0.3">
      <c r="A21" s="53">
        <v>15</v>
      </c>
      <c r="B21" s="2">
        <v>37092</v>
      </c>
      <c r="C21" s="89" t="s">
        <v>9</v>
      </c>
      <c r="D21" s="8">
        <v>582</v>
      </c>
      <c r="E21" s="10">
        <v>360</v>
      </c>
      <c r="F21" s="4">
        <v>0.95</v>
      </c>
      <c r="G21" s="3">
        <v>132</v>
      </c>
      <c r="H21" s="80">
        <f t="shared" si="0"/>
        <v>30.674093303633278</v>
      </c>
      <c r="I21" s="81">
        <f t="shared" si="1"/>
        <v>1.4867717342662448</v>
      </c>
      <c r="J21" s="80">
        <f t="shared" si="2"/>
        <v>-2.2276394711152253E-2</v>
      </c>
      <c r="K21" s="82">
        <f t="shared" si="3"/>
        <v>1.1545107946051431E-2</v>
      </c>
      <c r="L21" s="80">
        <f t="shared" si="4"/>
        <v>81.812968534269686</v>
      </c>
      <c r="M21" s="83">
        <f t="shared" si="5"/>
        <v>1.9128221510607928</v>
      </c>
      <c r="N21" s="83">
        <f t="shared" si="6"/>
        <v>-1.9376020021010436</v>
      </c>
    </row>
    <row r="22" spans="1:14" ht="18.75" customHeight="1" x14ac:dyDescent="0.3">
      <c r="A22" s="53">
        <v>16</v>
      </c>
      <c r="B22" s="2">
        <v>37092</v>
      </c>
      <c r="C22" s="89" t="s">
        <v>10</v>
      </c>
      <c r="D22" s="8">
        <v>960</v>
      </c>
      <c r="E22" s="10">
        <v>360</v>
      </c>
      <c r="F22" s="4">
        <v>0.45</v>
      </c>
      <c r="G22" s="3">
        <v>125</v>
      </c>
      <c r="H22" s="80">
        <f t="shared" si="0"/>
        <v>50.596442562694065</v>
      </c>
      <c r="I22" s="81">
        <f t="shared" si="1"/>
        <v>1.7041199826559248</v>
      </c>
      <c r="J22" s="80">
        <f t="shared" si="2"/>
        <v>-0.34678748622465633</v>
      </c>
      <c r="K22" s="82">
        <f t="shared" si="3"/>
        <v>5.1570102891128795E-3</v>
      </c>
      <c r="L22" s="80">
        <f t="shared" si="4"/>
        <v>134.94922644827989</v>
      </c>
      <c r="M22" s="83">
        <f t="shared" si="5"/>
        <v>2.1301703994504728</v>
      </c>
      <c r="N22" s="83">
        <f t="shared" si="6"/>
        <v>-2.2876020021010435</v>
      </c>
    </row>
    <row r="23" spans="1:14" ht="18.75" customHeight="1" x14ac:dyDescent="0.3">
      <c r="A23" s="53">
        <v>17</v>
      </c>
      <c r="B23" s="2">
        <v>37092</v>
      </c>
      <c r="C23" s="89" t="s">
        <v>11</v>
      </c>
      <c r="D23" s="8">
        <v>1214</v>
      </c>
      <c r="E23" s="10">
        <v>360</v>
      </c>
      <c r="F23" s="4">
        <v>0.26</v>
      </c>
      <c r="G23" s="3">
        <v>122</v>
      </c>
      <c r="H23" s="80">
        <f t="shared" si="0"/>
        <v>63.983417990740207</v>
      </c>
      <c r="I23" s="81">
        <f t="shared" si="1"/>
        <v>1.8060674363555951</v>
      </c>
      <c r="J23" s="80">
        <f t="shared" si="2"/>
        <v>-0.58502665202918203</v>
      </c>
      <c r="K23" s="82">
        <f t="shared" si="3"/>
        <v>3.6508836942030862E-3</v>
      </c>
      <c r="L23" s="80">
        <f t="shared" si="4"/>
        <v>170.6545426127206</v>
      </c>
      <c r="M23" s="83">
        <f t="shared" si="5"/>
        <v>2.2321178531501431</v>
      </c>
      <c r="N23" s="83">
        <f t="shared" si="6"/>
        <v>-2.4376020021010438</v>
      </c>
    </row>
    <row r="24" spans="1:14" s="62" customFormat="1" ht="18.75" customHeight="1" x14ac:dyDescent="0.3">
      <c r="A24" s="64">
        <v>18</v>
      </c>
      <c r="B24" s="5">
        <v>37092</v>
      </c>
      <c r="C24" s="90" t="s">
        <v>12</v>
      </c>
      <c r="D24" s="9">
        <v>1426</v>
      </c>
      <c r="E24" s="11">
        <v>360</v>
      </c>
      <c r="F24" s="7">
        <v>0.28000000000000003</v>
      </c>
      <c r="G24" s="6">
        <v>118</v>
      </c>
      <c r="H24" s="80">
        <f t="shared" si="0"/>
        <v>75.156799056668476</v>
      </c>
      <c r="I24" s="81">
        <f t="shared" si="1"/>
        <v>1.8759682751322031</v>
      </c>
      <c r="J24" s="80">
        <f t="shared" si="2"/>
        <v>-0.55284196865778079</v>
      </c>
      <c r="K24" s="82">
        <f t="shared" si="3"/>
        <v>2.3035518807004215E-3</v>
      </c>
      <c r="L24" s="80">
        <f t="shared" si="4"/>
        <v>200.45583012004909</v>
      </c>
      <c r="M24" s="83">
        <f t="shared" si="5"/>
        <v>2.3020186919267509</v>
      </c>
      <c r="N24" s="83">
        <f t="shared" si="6"/>
        <v>-2.6376020021010431</v>
      </c>
    </row>
    <row r="25" spans="1:14" ht="18.75" customHeight="1" x14ac:dyDescent="0.3">
      <c r="A25" s="53">
        <v>19</v>
      </c>
      <c r="B25" s="2">
        <v>37092</v>
      </c>
      <c r="C25" s="89" t="s">
        <v>13</v>
      </c>
      <c r="D25" s="8">
        <v>3432</v>
      </c>
      <c r="E25" s="10">
        <v>360</v>
      </c>
      <c r="F25" s="4">
        <v>0.06</v>
      </c>
      <c r="G25" s="3">
        <v>112</v>
      </c>
      <c r="H25" s="80">
        <f t="shared" si="0"/>
        <v>180.88228216163131</v>
      </c>
      <c r="I25" s="81">
        <f t="shared" si="1"/>
        <v>2.2573960287930244</v>
      </c>
      <c r="J25" s="80">
        <f t="shared" si="2"/>
        <v>-1.2218487496163564</v>
      </c>
      <c r="K25" s="82">
        <f t="shared" si="3"/>
        <v>1.1545107946051418E-3</v>
      </c>
      <c r="L25" s="80">
        <f t="shared" si="4"/>
        <v>482.44348455260058</v>
      </c>
      <c r="M25" s="83">
        <f t="shared" si="5"/>
        <v>2.6834464455875722</v>
      </c>
      <c r="N25" s="83">
        <f t="shared" si="6"/>
        <v>-2.9376020021010438</v>
      </c>
    </row>
    <row r="26" spans="1:14" ht="18.75" customHeight="1" x14ac:dyDescent="0.3">
      <c r="A26" s="53">
        <v>20</v>
      </c>
      <c r="B26" s="2">
        <v>37093</v>
      </c>
      <c r="C26" s="89" t="s">
        <v>22</v>
      </c>
      <c r="D26" s="8">
        <v>396</v>
      </c>
      <c r="E26" s="10">
        <v>361.5</v>
      </c>
      <c r="F26" s="4">
        <v>0.94</v>
      </c>
      <c r="G26" s="3">
        <v>130</v>
      </c>
      <c r="H26" s="80">
        <f t="shared" si="0"/>
        <v>20.827686648313392</v>
      </c>
      <c r="I26" s="81">
        <f t="shared" si="1"/>
        <v>1.3186410351102376</v>
      </c>
      <c r="J26" s="80">
        <f t="shared" si="2"/>
        <v>-2.6872146400301365E-2</v>
      </c>
      <c r="K26" s="82">
        <f t="shared" si="3"/>
        <v>9.1706052144883161E-3</v>
      </c>
      <c r="L26" s="80">
        <f t="shared" si="4"/>
        <v>55.589455318293552</v>
      </c>
      <c r="M26" s="83">
        <f t="shared" si="5"/>
        <v>1.7449924187153292</v>
      </c>
      <c r="N26" s="83">
        <f t="shared" si="6"/>
        <v>-2.037602002101043</v>
      </c>
    </row>
    <row r="27" spans="1:14" ht="18.75" customHeight="1" x14ac:dyDescent="0.3">
      <c r="A27" s="53">
        <v>21</v>
      </c>
      <c r="B27" s="2">
        <v>37093</v>
      </c>
      <c r="C27" s="89" t="s">
        <v>17</v>
      </c>
      <c r="D27" s="8">
        <v>792</v>
      </c>
      <c r="E27" s="10">
        <v>361.5</v>
      </c>
      <c r="F27" s="4">
        <v>0.33</v>
      </c>
      <c r="G27" s="3">
        <v>125</v>
      </c>
      <c r="H27" s="80">
        <f t="shared" si="0"/>
        <v>41.655373296626784</v>
      </c>
      <c r="I27" s="81">
        <f t="shared" si="1"/>
        <v>1.6196710307742186</v>
      </c>
      <c r="J27" s="80">
        <f t="shared" si="2"/>
        <v>-0.48148606012211248</v>
      </c>
      <c r="K27" s="82">
        <f t="shared" si="3"/>
        <v>5.1570102891128795E-3</v>
      </c>
      <c r="L27" s="80">
        <f t="shared" si="4"/>
        <v>111.1789106365871</v>
      </c>
      <c r="M27" s="83">
        <f t="shared" si="5"/>
        <v>2.0460224143793102</v>
      </c>
      <c r="N27" s="83">
        <f t="shared" si="6"/>
        <v>-2.2876020021010435</v>
      </c>
    </row>
    <row r="28" spans="1:14" ht="18.75" customHeight="1" x14ac:dyDescent="0.3">
      <c r="A28" s="53">
        <v>22</v>
      </c>
      <c r="B28" s="2">
        <v>37093</v>
      </c>
      <c r="C28" s="89" t="s">
        <v>18</v>
      </c>
      <c r="D28" s="8">
        <v>1267</v>
      </c>
      <c r="E28" s="10">
        <v>361.5</v>
      </c>
      <c r="F28" s="4">
        <v>0.49</v>
      </c>
      <c r="G28" s="3">
        <v>124</v>
      </c>
      <c r="H28" s="80">
        <f t="shared" si="0"/>
        <v>66.638078240942093</v>
      </c>
      <c r="I28" s="81">
        <f t="shared" si="1"/>
        <v>1.8237224640681666</v>
      </c>
      <c r="J28" s="80">
        <f t="shared" si="2"/>
        <v>-0.30980391997148632</v>
      </c>
      <c r="K28" s="82">
        <f t="shared" si="3"/>
        <v>4.5961902581372347E-3</v>
      </c>
      <c r="L28" s="80">
        <f t="shared" si="4"/>
        <v>177.85818153605538</v>
      </c>
      <c r="M28" s="83">
        <f t="shared" si="5"/>
        <v>2.2500738476732582</v>
      </c>
      <c r="N28" s="83">
        <f t="shared" si="6"/>
        <v>-2.3376020021010433</v>
      </c>
    </row>
    <row r="29" spans="1:14" ht="18.75" customHeight="1" x14ac:dyDescent="0.3">
      <c r="A29" s="53">
        <v>23</v>
      </c>
      <c r="B29" s="2">
        <v>37093</v>
      </c>
      <c r="C29" s="89" t="s">
        <v>23</v>
      </c>
      <c r="D29" s="8">
        <v>1595</v>
      </c>
      <c r="E29" s="10">
        <v>361.5</v>
      </c>
      <c r="F29" s="4">
        <v>0.18</v>
      </c>
      <c r="G29" s="3">
        <v>123</v>
      </c>
      <c r="H29" s="80">
        <f t="shared" si="0"/>
        <v>83.889293444595609</v>
      </c>
      <c r="I29" s="81">
        <f t="shared" si="1"/>
        <v>1.9237065365779251</v>
      </c>
      <c r="J29" s="80">
        <f t="shared" si="2"/>
        <v>-0.74472749489669399</v>
      </c>
      <c r="K29" s="82">
        <f t="shared" si="3"/>
        <v>4.0963588794059938E-3</v>
      </c>
      <c r="L29" s="80">
        <f t="shared" si="4"/>
        <v>223.90197280979348</v>
      </c>
      <c r="M29" s="83">
        <f t="shared" si="5"/>
        <v>2.350057920183017</v>
      </c>
      <c r="N29" s="83">
        <f t="shared" si="6"/>
        <v>-2.3876020021010431</v>
      </c>
    </row>
    <row r="30" spans="1:14" ht="18.75" customHeight="1" x14ac:dyDescent="0.3">
      <c r="A30" s="53">
        <v>24</v>
      </c>
      <c r="B30" s="2">
        <v>37093</v>
      </c>
      <c r="C30" s="89" t="s">
        <v>20</v>
      </c>
      <c r="D30" s="8">
        <v>1900</v>
      </c>
      <c r="E30" s="10">
        <v>361.5</v>
      </c>
      <c r="F30" s="4">
        <v>0.15</v>
      </c>
      <c r="G30" s="3">
        <v>120</v>
      </c>
      <c r="H30" s="80">
        <f t="shared" si="0"/>
        <v>99.93081977726122</v>
      </c>
      <c r="I30" s="81">
        <f t="shared" si="1"/>
        <v>1.9996994501375542</v>
      </c>
      <c r="J30" s="80">
        <f t="shared" si="2"/>
        <v>-0.82390874094431876</v>
      </c>
      <c r="K30" s="82">
        <f t="shared" si="3"/>
        <v>2.8999999999999998E-3</v>
      </c>
      <c r="L30" s="80">
        <f t="shared" si="4"/>
        <v>266.71708359787311</v>
      </c>
      <c r="M30" s="83">
        <f t="shared" si="5"/>
        <v>2.4260508337426456</v>
      </c>
      <c r="N30" s="83">
        <f t="shared" si="6"/>
        <v>-2.5376020021010439</v>
      </c>
    </row>
    <row r="31" spans="1:14" ht="18.75" customHeight="1" x14ac:dyDescent="0.3">
      <c r="A31" s="53">
        <v>25</v>
      </c>
      <c r="B31" s="2">
        <v>37093</v>
      </c>
      <c r="C31" s="89" t="s">
        <v>9</v>
      </c>
      <c r="D31" s="8">
        <v>634</v>
      </c>
      <c r="E31" s="10">
        <v>361.5</v>
      </c>
      <c r="F31" s="4">
        <v>1.02</v>
      </c>
      <c r="G31" s="3">
        <v>122</v>
      </c>
      <c r="H31" s="80">
        <f t="shared" si="0"/>
        <v>33.345336704622959</v>
      </c>
      <c r="I31" s="81">
        <f t="shared" si="1"/>
        <v>1.5230351070664578</v>
      </c>
      <c r="J31" s="80">
        <f t="shared" si="2"/>
        <v>8.6001717619175692E-3</v>
      </c>
      <c r="K31" s="82">
        <f t="shared" si="3"/>
        <v>3.6508836942030862E-3</v>
      </c>
      <c r="L31" s="80">
        <f t="shared" si="4"/>
        <v>88.999279474237653</v>
      </c>
      <c r="M31" s="83">
        <f t="shared" si="5"/>
        <v>1.9493864906715495</v>
      </c>
      <c r="N31" s="83">
        <f t="shared" si="6"/>
        <v>-2.4376020021010438</v>
      </c>
    </row>
    <row r="32" spans="1:14" ht="18.75" customHeight="1" x14ac:dyDescent="0.3">
      <c r="A32" s="53">
        <v>26</v>
      </c>
      <c r="B32" s="2">
        <v>37093</v>
      </c>
      <c r="C32" s="89" t="s">
        <v>10</v>
      </c>
      <c r="D32" s="8">
        <v>844</v>
      </c>
      <c r="E32" s="10">
        <v>361.5</v>
      </c>
      <c r="F32" s="4">
        <v>0.51</v>
      </c>
      <c r="G32" s="3">
        <v>122</v>
      </c>
      <c r="H32" s="80">
        <f t="shared" si="0"/>
        <v>44.39032204842551</v>
      </c>
      <c r="I32" s="81">
        <f t="shared" si="1"/>
        <v>1.6472882958103803</v>
      </c>
      <c r="J32" s="80">
        <f t="shared" si="2"/>
        <v>-0.29242982390206362</v>
      </c>
      <c r="K32" s="82">
        <f t="shared" si="3"/>
        <v>3.6508836942030862E-3</v>
      </c>
      <c r="L32" s="80">
        <f t="shared" si="4"/>
        <v>118.47853608242363</v>
      </c>
      <c r="M32" s="83">
        <f t="shared" si="5"/>
        <v>2.0736396794154719</v>
      </c>
      <c r="N32" s="83">
        <f t="shared" si="6"/>
        <v>-2.4376020021010438</v>
      </c>
    </row>
    <row r="33" spans="1:14" ht="18.75" customHeight="1" x14ac:dyDescent="0.3">
      <c r="A33" s="53">
        <v>27</v>
      </c>
      <c r="B33" s="2">
        <v>37093</v>
      </c>
      <c r="C33" s="89" t="s">
        <v>24</v>
      </c>
      <c r="D33" s="8">
        <v>528</v>
      </c>
      <c r="E33" s="10">
        <v>361.5</v>
      </c>
      <c r="F33" s="4">
        <v>0.76</v>
      </c>
      <c r="G33" s="3">
        <v>125</v>
      </c>
      <c r="H33" s="80">
        <f t="shared" si="0"/>
        <v>27.770248864417855</v>
      </c>
      <c r="I33" s="81">
        <f t="shared" si="1"/>
        <v>1.4435797717185375</v>
      </c>
      <c r="J33" s="80">
        <f t="shared" si="2"/>
        <v>-0.11918640771920865</v>
      </c>
      <c r="K33" s="82">
        <f t="shared" si="3"/>
        <v>5.1570102891128795E-3</v>
      </c>
      <c r="L33" s="80">
        <f t="shared" si="4"/>
        <v>74.119273757724741</v>
      </c>
      <c r="M33" s="83">
        <f t="shared" si="5"/>
        <v>1.8699311553236291</v>
      </c>
      <c r="N33" s="83">
        <f t="shared" si="6"/>
        <v>-2.2876020021010435</v>
      </c>
    </row>
    <row r="34" spans="1:14" ht="18.75" customHeight="1" x14ac:dyDescent="0.3">
      <c r="A34" s="53">
        <v>28</v>
      </c>
      <c r="B34" s="2">
        <v>37093</v>
      </c>
      <c r="C34" s="89" t="s">
        <v>25</v>
      </c>
      <c r="D34" s="8">
        <v>786</v>
      </c>
      <c r="E34" s="10">
        <v>361.5</v>
      </c>
      <c r="F34" s="4">
        <v>0.36</v>
      </c>
      <c r="G34" s="3">
        <v>122</v>
      </c>
      <c r="H34" s="80">
        <f t="shared" si="0"/>
        <v>41.339802286803852</v>
      </c>
      <c r="I34" s="81">
        <f t="shared" si="1"/>
        <v>1.616368395224133</v>
      </c>
      <c r="J34" s="80">
        <f t="shared" si="2"/>
        <v>-0.44369749923271273</v>
      </c>
      <c r="K34" s="82">
        <f t="shared" si="3"/>
        <v>3.6508836942030862E-3</v>
      </c>
      <c r="L34" s="80">
        <f t="shared" si="4"/>
        <v>110.33664616206751</v>
      </c>
      <c r="M34" s="83">
        <f t="shared" si="5"/>
        <v>2.0427197788292246</v>
      </c>
      <c r="N34" s="83">
        <f t="shared" si="6"/>
        <v>-2.4376020021010438</v>
      </c>
    </row>
    <row r="35" spans="1:14" ht="18.75" customHeight="1" x14ac:dyDescent="0.3">
      <c r="A35" s="53">
        <v>29</v>
      </c>
      <c r="B35" s="2">
        <v>37093</v>
      </c>
      <c r="C35" s="89" t="s">
        <v>26</v>
      </c>
      <c r="D35" s="8">
        <v>1372</v>
      </c>
      <c r="E35" s="10">
        <v>361.5</v>
      </c>
      <c r="F35" s="4">
        <v>0.49</v>
      </c>
      <c r="G35" s="3">
        <v>120</v>
      </c>
      <c r="H35" s="80">
        <f t="shared" si="0"/>
        <v>72.160570912843369</v>
      </c>
      <c r="I35" s="81">
        <f t="shared" si="1"/>
        <v>1.858299960555458</v>
      </c>
      <c r="J35" s="80">
        <f t="shared" si="2"/>
        <v>-0.30980391997148632</v>
      </c>
      <c r="K35" s="82">
        <f t="shared" si="3"/>
        <v>2.8999999999999998E-3</v>
      </c>
      <c r="L35" s="80">
        <f t="shared" si="4"/>
        <v>192.59780984014839</v>
      </c>
      <c r="M35" s="83">
        <f t="shared" si="5"/>
        <v>2.2846513441605496</v>
      </c>
      <c r="N35" s="83">
        <f t="shared" si="6"/>
        <v>-2.5376020021010439</v>
      </c>
    </row>
    <row r="36" spans="1:14" ht="18.75" customHeight="1" x14ac:dyDescent="0.3">
      <c r="A36" s="53">
        <v>30</v>
      </c>
      <c r="B36" s="2">
        <v>37093</v>
      </c>
      <c r="C36" s="89" t="s">
        <v>27</v>
      </c>
      <c r="D36" s="8">
        <v>1900</v>
      </c>
      <c r="E36" s="10">
        <v>361.5</v>
      </c>
      <c r="F36" s="4">
        <v>0.22</v>
      </c>
      <c r="G36" s="3">
        <v>121</v>
      </c>
      <c r="H36" s="80">
        <f t="shared" si="0"/>
        <v>99.93081977726122</v>
      </c>
      <c r="I36" s="81">
        <f t="shared" si="1"/>
        <v>1.9996994501375542</v>
      </c>
      <c r="J36" s="80">
        <f t="shared" si="2"/>
        <v>-0.65757731917779372</v>
      </c>
      <c r="K36" s="82">
        <f t="shared" si="3"/>
        <v>3.2538535174756961E-3</v>
      </c>
      <c r="L36" s="80">
        <f t="shared" si="4"/>
        <v>266.71708359787311</v>
      </c>
      <c r="M36" s="83">
        <f t="shared" si="5"/>
        <v>2.4260508337426456</v>
      </c>
      <c r="N36" s="83">
        <f t="shared" si="6"/>
        <v>-2.4876020021010437</v>
      </c>
    </row>
    <row r="37" spans="1:14" ht="18.75" customHeight="1" x14ac:dyDescent="0.3">
      <c r="A37" s="53">
        <v>31</v>
      </c>
      <c r="B37" s="2">
        <v>37093</v>
      </c>
      <c r="C37" s="89" t="s">
        <v>28</v>
      </c>
      <c r="D37" s="8">
        <v>1848</v>
      </c>
      <c r="E37" s="10">
        <v>361.5</v>
      </c>
      <c r="F37" s="4">
        <v>0.25</v>
      </c>
      <c r="G37" s="3">
        <v>114</v>
      </c>
      <c r="H37" s="80">
        <f t="shared" si="0"/>
        <v>97.195871025462495</v>
      </c>
      <c r="I37" s="81">
        <f t="shared" si="1"/>
        <v>1.9876478160688131</v>
      </c>
      <c r="J37" s="80">
        <f t="shared" si="2"/>
        <v>-0.6020599913279624</v>
      </c>
      <c r="K37" s="82">
        <f t="shared" si="3"/>
        <v>1.4534429775190931E-3</v>
      </c>
      <c r="L37" s="80">
        <f t="shared" si="4"/>
        <v>259.4174581520366</v>
      </c>
      <c r="M37" s="83">
        <f t="shared" si="5"/>
        <v>2.413999199673905</v>
      </c>
      <c r="N37" s="83">
        <f t="shared" si="6"/>
        <v>-2.8376020021010429</v>
      </c>
    </row>
    <row r="38" spans="1:14" ht="18.75" customHeight="1" x14ac:dyDescent="0.3">
      <c r="A38" s="53">
        <v>32</v>
      </c>
      <c r="B38" s="2">
        <v>37093</v>
      </c>
      <c r="C38" s="89" t="s">
        <v>29</v>
      </c>
      <c r="D38" s="8">
        <v>264</v>
      </c>
      <c r="E38" s="10">
        <v>361.5</v>
      </c>
      <c r="F38" s="4">
        <v>4</v>
      </c>
      <c r="G38" s="3">
        <v>128</v>
      </c>
      <c r="H38" s="80">
        <f t="shared" si="0"/>
        <v>13.885124432208928</v>
      </c>
      <c r="I38" s="81">
        <f t="shared" si="1"/>
        <v>1.1425497760545562</v>
      </c>
      <c r="J38" s="80">
        <f t="shared" si="2"/>
        <v>0.6020599913279624</v>
      </c>
      <c r="K38" s="82">
        <f t="shared" si="3"/>
        <v>7.2844706513778019E-3</v>
      </c>
      <c r="L38" s="80">
        <f t="shared" si="4"/>
        <v>37.059636878862371</v>
      </c>
      <c r="M38" s="83">
        <f t="shared" si="5"/>
        <v>1.5689011596596478</v>
      </c>
      <c r="N38" s="83">
        <f t="shared" si="6"/>
        <v>-2.1376020021010427</v>
      </c>
    </row>
    <row r="39" spans="1:14" ht="18.75" customHeight="1" x14ac:dyDescent="0.3">
      <c r="A39" s="53">
        <v>33</v>
      </c>
      <c r="B39" s="2">
        <v>37093</v>
      </c>
      <c r="C39" s="89" t="s">
        <v>30</v>
      </c>
      <c r="D39" s="8">
        <v>528</v>
      </c>
      <c r="E39" s="10">
        <v>361.5</v>
      </c>
      <c r="F39" s="4">
        <v>0.56000000000000005</v>
      </c>
      <c r="G39" s="3">
        <v>122</v>
      </c>
      <c r="H39" s="80">
        <f t="shared" si="0"/>
        <v>27.770248864417855</v>
      </c>
      <c r="I39" s="81">
        <f t="shared" si="1"/>
        <v>1.4435797717185375</v>
      </c>
      <c r="J39" s="80">
        <f t="shared" si="2"/>
        <v>-0.25181197299379954</v>
      </c>
      <c r="K39" s="82">
        <f t="shared" si="3"/>
        <v>3.6508836942030862E-3</v>
      </c>
      <c r="L39" s="80">
        <f t="shared" si="4"/>
        <v>74.119273757724741</v>
      </c>
      <c r="M39" s="83">
        <f t="shared" si="5"/>
        <v>1.8699311553236291</v>
      </c>
      <c r="N39" s="83">
        <f t="shared" si="6"/>
        <v>-2.4376020021010438</v>
      </c>
    </row>
    <row r="40" spans="1:14" ht="18.75" customHeight="1" x14ac:dyDescent="0.3">
      <c r="A40" s="53">
        <v>34</v>
      </c>
      <c r="B40" s="2">
        <v>37093</v>
      </c>
      <c r="C40" s="89" t="s">
        <v>31</v>
      </c>
      <c r="D40" s="8">
        <v>878</v>
      </c>
      <c r="E40" s="10">
        <v>361.5</v>
      </c>
      <c r="F40" s="4">
        <v>0.46</v>
      </c>
      <c r="G40" s="3">
        <v>117</v>
      </c>
      <c r="H40" s="80">
        <f t="shared" si="0"/>
        <v>46.178557770755454</v>
      </c>
      <c r="I40" s="81">
        <f t="shared" si="1"/>
        <v>1.6644403650908277</v>
      </c>
      <c r="J40" s="80">
        <f t="shared" si="2"/>
        <v>-0.33724216831842591</v>
      </c>
      <c r="K40" s="82">
        <f t="shared" si="3"/>
        <v>2.0530427747140019E-3</v>
      </c>
      <c r="L40" s="80">
        <f t="shared" si="4"/>
        <v>123.25136810470137</v>
      </c>
      <c r="M40" s="83">
        <f t="shared" si="5"/>
        <v>2.0907917486959193</v>
      </c>
      <c r="N40" s="83">
        <f t="shared" si="6"/>
        <v>-2.6876020021010434</v>
      </c>
    </row>
    <row r="41" spans="1:14" ht="18.75" customHeight="1" x14ac:dyDescent="0.3">
      <c r="A41" s="53">
        <v>35</v>
      </c>
      <c r="B41" s="2">
        <v>37093</v>
      </c>
      <c r="C41" s="89" t="s">
        <v>32</v>
      </c>
      <c r="D41" s="8">
        <v>1407</v>
      </c>
      <c r="E41" s="10">
        <v>361.5</v>
      </c>
      <c r="F41" s="4">
        <v>0.22</v>
      </c>
      <c r="G41" s="3">
        <v>117</v>
      </c>
      <c r="H41" s="80">
        <f t="shared" si="0"/>
        <v>74.001401803477137</v>
      </c>
      <c r="I41" s="81">
        <f t="shared" si="1"/>
        <v>1.8692399466194709</v>
      </c>
      <c r="J41" s="80">
        <f t="shared" si="2"/>
        <v>-0.65757731917779372</v>
      </c>
      <c r="K41" s="82">
        <f t="shared" si="3"/>
        <v>2.0530427747140019E-3</v>
      </c>
      <c r="L41" s="80">
        <f t="shared" si="4"/>
        <v>197.51101927484603</v>
      </c>
      <c r="M41" s="83">
        <f t="shared" si="5"/>
        <v>2.2955913302245627</v>
      </c>
      <c r="N41" s="83">
        <f t="shared" si="6"/>
        <v>-2.6876020021010434</v>
      </c>
    </row>
    <row r="42" spans="1:14" ht="18.75" customHeight="1" x14ac:dyDescent="0.3">
      <c r="A42" s="53">
        <v>36</v>
      </c>
      <c r="B42" s="2">
        <v>37093</v>
      </c>
      <c r="C42" s="89" t="s">
        <v>33</v>
      </c>
      <c r="D42" s="8">
        <v>3125</v>
      </c>
      <c r="E42" s="10">
        <v>361.5</v>
      </c>
      <c r="F42" s="4">
        <v>0.1</v>
      </c>
      <c r="G42" s="3">
        <v>109</v>
      </c>
      <c r="H42" s="80">
        <f t="shared" si="0"/>
        <v>164.35990094944282</v>
      </c>
      <c r="I42" s="81">
        <f t="shared" si="1"/>
        <v>2.2157958708648193</v>
      </c>
      <c r="J42" s="80">
        <f t="shared" si="2"/>
        <v>-1</v>
      </c>
      <c r="K42" s="82">
        <f t="shared" si="3"/>
        <v>8.1733105006669257E-4</v>
      </c>
      <c r="L42" s="80">
        <f t="shared" si="4"/>
        <v>438.67941381229133</v>
      </c>
      <c r="M42" s="83">
        <f t="shared" si="5"/>
        <v>2.6421472544699109</v>
      </c>
      <c r="N42" s="83">
        <f t="shared" si="6"/>
        <v>-3.0876020021010433</v>
      </c>
    </row>
    <row r="43" spans="1:14" ht="18.75" customHeight="1" x14ac:dyDescent="0.3">
      <c r="A43" s="53">
        <v>37</v>
      </c>
      <c r="B43" s="2">
        <v>36734</v>
      </c>
      <c r="C43" s="89" t="s">
        <v>34</v>
      </c>
      <c r="D43" s="8">
        <v>90</v>
      </c>
      <c r="E43" s="10">
        <v>375.5</v>
      </c>
      <c r="F43" s="4">
        <v>2.08</v>
      </c>
      <c r="G43" s="3">
        <v>139</v>
      </c>
      <c r="H43" s="80">
        <f t="shared" si="0"/>
        <v>4.6444847237199713</v>
      </c>
      <c r="I43" s="81">
        <f t="shared" si="1"/>
        <v>0.66693753876923134</v>
      </c>
      <c r="J43" s="80">
        <f t="shared" si="2"/>
        <v>0.31806333496276157</v>
      </c>
      <c r="K43" s="82">
        <f t="shared" si="3"/>
        <v>2.5846277205878648E-2</v>
      </c>
      <c r="L43" s="80">
        <f t="shared" si="4"/>
        <v>12.474960973578176</v>
      </c>
      <c r="M43" s="83">
        <f t="shared" si="5"/>
        <v>1.0960391956592626</v>
      </c>
      <c r="N43" s="83">
        <f t="shared" si="6"/>
        <v>-1.5876020021010435</v>
      </c>
    </row>
    <row r="44" spans="1:14" ht="18.75" customHeight="1" x14ac:dyDescent="0.3">
      <c r="A44" s="53">
        <v>38</v>
      </c>
      <c r="B44" s="2">
        <v>36734</v>
      </c>
      <c r="C44" s="89" t="s">
        <v>22</v>
      </c>
      <c r="D44" s="8">
        <v>300</v>
      </c>
      <c r="E44" s="10">
        <v>375.5</v>
      </c>
      <c r="F44" s="4">
        <v>1.64</v>
      </c>
      <c r="G44" s="3">
        <v>130</v>
      </c>
      <c r="H44" s="80">
        <f t="shared" si="0"/>
        <v>15.481615745733238</v>
      </c>
      <c r="I44" s="81">
        <f t="shared" si="1"/>
        <v>1.189816284049569</v>
      </c>
      <c r="J44" s="80">
        <f t="shared" si="2"/>
        <v>0.21484384804769785</v>
      </c>
      <c r="K44" s="82">
        <f t="shared" si="3"/>
        <v>9.1706052144883161E-3</v>
      </c>
      <c r="L44" s="80">
        <f t="shared" si="4"/>
        <v>41.583203245260584</v>
      </c>
      <c r="M44" s="83">
        <f t="shared" si="5"/>
        <v>1.6189179409396002</v>
      </c>
      <c r="N44" s="83">
        <f t="shared" si="6"/>
        <v>-2.037602002101043</v>
      </c>
    </row>
    <row r="45" spans="1:14" ht="18.75" customHeight="1" x14ac:dyDescent="0.3">
      <c r="A45" s="53">
        <v>39</v>
      </c>
      <c r="B45" s="2">
        <v>36734</v>
      </c>
      <c r="C45" s="89" t="s">
        <v>17</v>
      </c>
      <c r="D45" s="8">
        <v>700</v>
      </c>
      <c r="E45" s="10">
        <v>375.5</v>
      </c>
      <c r="F45" s="4">
        <v>0.41</v>
      </c>
      <c r="G45" s="3">
        <v>123</v>
      </c>
      <c r="H45" s="80">
        <f t="shared" si="0"/>
        <v>36.123770073377557</v>
      </c>
      <c r="I45" s="81">
        <f t="shared" si="1"/>
        <v>1.5577930693441633</v>
      </c>
      <c r="J45" s="80">
        <f t="shared" si="2"/>
        <v>-0.38721614328026455</v>
      </c>
      <c r="K45" s="82">
        <f t="shared" si="3"/>
        <v>4.0963588794059938E-3</v>
      </c>
      <c r="L45" s="80">
        <f t="shared" si="4"/>
        <v>97.027474238941366</v>
      </c>
      <c r="M45" s="83">
        <f t="shared" si="5"/>
        <v>1.9868947262341945</v>
      </c>
      <c r="N45" s="83">
        <f t="shared" si="6"/>
        <v>-2.3876020021010431</v>
      </c>
    </row>
    <row r="46" spans="1:14" ht="18.75" customHeight="1" x14ac:dyDescent="0.3">
      <c r="A46" s="53">
        <v>40</v>
      </c>
      <c r="B46" s="2">
        <v>36734</v>
      </c>
      <c r="C46" s="89" t="s">
        <v>18</v>
      </c>
      <c r="D46" s="8">
        <v>1230</v>
      </c>
      <c r="E46" s="10">
        <v>375.5</v>
      </c>
      <c r="F46" s="4">
        <v>0.16</v>
      </c>
      <c r="G46" s="3">
        <v>119</v>
      </c>
      <c r="H46" s="80">
        <f t="shared" si="0"/>
        <v>63.474624557506274</v>
      </c>
      <c r="I46" s="81">
        <f t="shared" si="1"/>
        <v>1.8026001407693044</v>
      </c>
      <c r="J46" s="80">
        <f t="shared" si="2"/>
        <v>-0.79588001734407521</v>
      </c>
      <c r="K46" s="82">
        <f t="shared" si="3"/>
        <v>2.5846277205878667E-3</v>
      </c>
      <c r="L46" s="80">
        <f t="shared" si="4"/>
        <v>170.49113330556841</v>
      </c>
      <c r="M46" s="83">
        <f t="shared" si="5"/>
        <v>2.2317017976593356</v>
      </c>
      <c r="N46" s="83">
        <f t="shared" si="6"/>
        <v>-2.5876020021010433</v>
      </c>
    </row>
    <row r="47" spans="1:14" ht="18.75" customHeight="1" x14ac:dyDescent="0.3">
      <c r="A47" s="53">
        <v>41</v>
      </c>
      <c r="B47" s="2">
        <v>36734</v>
      </c>
      <c r="C47" s="89" t="s">
        <v>20</v>
      </c>
      <c r="D47" s="8">
        <v>2200</v>
      </c>
      <c r="E47" s="10">
        <v>375.5</v>
      </c>
      <c r="F47" s="4">
        <v>0.06</v>
      </c>
      <c r="G47" s="3">
        <v>116</v>
      </c>
      <c r="H47" s="80">
        <f t="shared" si="0"/>
        <v>113.53184880204374</v>
      </c>
      <c r="I47" s="81">
        <f t="shared" si="1"/>
        <v>2.0551177101521128</v>
      </c>
      <c r="J47" s="80">
        <f t="shared" si="2"/>
        <v>-1.2218487496163564</v>
      </c>
      <c r="K47" s="82">
        <f t="shared" si="3"/>
        <v>1.8297762989925629E-3</v>
      </c>
      <c r="L47" s="80">
        <f t="shared" si="4"/>
        <v>304.94349046524428</v>
      </c>
      <c r="M47" s="83">
        <f t="shared" si="5"/>
        <v>2.4842193670421437</v>
      </c>
      <c r="N47" s="83">
        <f t="shared" si="6"/>
        <v>-2.7376020021010432</v>
      </c>
    </row>
    <row r="48" spans="1:14" ht="18.75" customHeight="1" x14ac:dyDescent="0.3">
      <c r="A48" s="53">
        <v>42</v>
      </c>
      <c r="B48" s="2">
        <v>36734</v>
      </c>
      <c r="C48" s="89" t="s">
        <v>21</v>
      </c>
      <c r="D48" s="8">
        <v>2600</v>
      </c>
      <c r="E48" s="10">
        <v>375.5</v>
      </c>
      <c r="F48" s="4">
        <v>0.05</v>
      </c>
      <c r="G48" s="3">
        <v>116</v>
      </c>
      <c r="H48" s="80">
        <f t="shared" si="0"/>
        <v>134.17400312968806</v>
      </c>
      <c r="I48" s="81">
        <f t="shared" si="1"/>
        <v>2.1276683773007243</v>
      </c>
      <c r="J48" s="80">
        <f t="shared" si="2"/>
        <v>-1.3010299956639813</v>
      </c>
      <c r="K48" s="82">
        <f t="shared" si="3"/>
        <v>1.8297762989925629E-3</v>
      </c>
      <c r="L48" s="80">
        <f t="shared" si="4"/>
        <v>360.38776145892507</v>
      </c>
      <c r="M48" s="83">
        <f t="shared" si="5"/>
        <v>2.5567700341907558</v>
      </c>
      <c r="N48" s="83">
        <f t="shared" si="6"/>
        <v>-2.7376020021010432</v>
      </c>
    </row>
    <row r="49" spans="1:14" ht="18.75" customHeight="1" x14ac:dyDescent="0.3">
      <c r="A49" s="53">
        <v>43</v>
      </c>
      <c r="B49" s="2">
        <v>36738</v>
      </c>
      <c r="C49" s="89" t="s">
        <v>15</v>
      </c>
      <c r="D49" s="8">
        <v>93</v>
      </c>
      <c r="E49" s="10">
        <v>350</v>
      </c>
      <c r="F49" s="4">
        <v>1.96</v>
      </c>
      <c r="G49" s="3">
        <v>138</v>
      </c>
      <c r="H49" s="80">
        <f t="shared" si="0"/>
        <v>4.971059099571093</v>
      </c>
      <c r="I49" s="81">
        <f t="shared" si="1"/>
        <v>0.6964489263787973</v>
      </c>
      <c r="J49" s="80">
        <f t="shared" si="2"/>
        <v>0.29225607135647602</v>
      </c>
      <c r="K49" s="82">
        <f t="shared" si="3"/>
        <v>2.3035518807004197E-2</v>
      </c>
      <c r="L49" s="80">
        <f t="shared" si="4"/>
        <v>13.196545731324571</v>
      </c>
      <c r="M49" s="83">
        <f t="shared" si="5"/>
        <v>1.1204602671038433</v>
      </c>
      <c r="N49" s="83">
        <f t="shared" si="6"/>
        <v>-1.6376020021010433</v>
      </c>
    </row>
    <row r="50" spans="1:14" ht="18.75" customHeight="1" x14ac:dyDescent="0.3">
      <c r="A50" s="53">
        <v>44</v>
      </c>
      <c r="B50" s="2">
        <v>36738</v>
      </c>
      <c r="C50" s="89" t="s">
        <v>34</v>
      </c>
      <c r="D50" s="8">
        <v>294</v>
      </c>
      <c r="E50" s="10">
        <v>350</v>
      </c>
      <c r="F50" s="4">
        <v>1.28</v>
      </c>
      <c r="G50" s="3">
        <v>130</v>
      </c>
      <c r="H50" s="80">
        <f t="shared" si="0"/>
        <v>15.714961024450552</v>
      </c>
      <c r="I50" s="81">
        <f t="shared" si="1"/>
        <v>1.1963133082370194</v>
      </c>
      <c r="J50" s="80">
        <f t="shared" si="2"/>
        <v>0.10720996964786837</v>
      </c>
      <c r="K50" s="82">
        <f t="shared" si="3"/>
        <v>9.1706052144883161E-3</v>
      </c>
      <c r="L50" s="80">
        <f t="shared" si="4"/>
        <v>41.718112311929289</v>
      </c>
      <c r="M50" s="83">
        <f t="shared" si="5"/>
        <v>1.6203246489620655</v>
      </c>
      <c r="N50" s="83">
        <f t="shared" si="6"/>
        <v>-2.037602002101043</v>
      </c>
    </row>
    <row r="51" spans="1:14" ht="18.75" customHeight="1" x14ac:dyDescent="0.3">
      <c r="A51" s="53">
        <v>45</v>
      </c>
      <c r="B51" s="2">
        <v>36738</v>
      </c>
      <c r="C51" s="89" t="s">
        <v>22</v>
      </c>
      <c r="D51" s="8">
        <v>504</v>
      </c>
      <c r="E51" s="10">
        <v>350</v>
      </c>
      <c r="F51" s="4">
        <v>0.5</v>
      </c>
      <c r="G51" s="3">
        <v>124</v>
      </c>
      <c r="H51" s="80">
        <f t="shared" si="0"/>
        <v>26.939933184772375</v>
      </c>
      <c r="I51" s="81">
        <f t="shared" si="1"/>
        <v>1.4303965142703874</v>
      </c>
      <c r="J51" s="80">
        <f t="shared" si="2"/>
        <v>-0.3010299956639812</v>
      </c>
      <c r="K51" s="82">
        <f t="shared" si="3"/>
        <v>4.5961902581372347E-3</v>
      </c>
      <c r="L51" s="80">
        <f t="shared" si="4"/>
        <v>71.516763963307355</v>
      </c>
      <c r="M51" s="83">
        <f t="shared" si="5"/>
        <v>1.8544078549954335</v>
      </c>
      <c r="N51" s="83">
        <f t="shared" si="6"/>
        <v>-2.3376020021010433</v>
      </c>
    </row>
    <row r="52" spans="1:14" ht="18.75" customHeight="1" x14ac:dyDescent="0.3">
      <c r="A52" s="53">
        <v>46</v>
      </c>
      <c r="B52" s="2">
        <v>36738</v>
      </c>
      <c r="C52" s="89" t="s">
        <v>17</v>
      </c>
      <c r="D52" s="8">
        <v>904</v>
      </c>
      <c r="E52" s="10">
        <v>350</v>
      </c>
      <c r="F52" s="4">
        <v>0.32</v>
      </c>
      <c r="G52" s="3">
        <v>121</v>
      </c>
      <c r="H52" s="80">
        <f t="shared" si="0"/>
        <v>48.320832537766329</v>
      </c>
      <c r="I52" s="81">
        <f t="shared" si="1"/>
        <v>1.6841344083002254</v>
      </c>
      <c r="J52" s="80">
        <f t="shared" si="2"/>
        <v>-0.49485002168009401</v>
      </c>
      <c r="K52" s="82">
        <f t="shared" si="3"/>
        <v>3.2538535174756961E-3</v>
      </c>
      <c r="L52" s="80">
        <f t="shared" si="4"/>
        <v>128.27610044212273</v>
      </c>
      <c r="M52" s="83">
        <f t="shared" si="5"/>
        <v>2.1081457490252715</v>
      </c>
      <c r="N52" s="83">
        <f t="shared" si="6"/>
        <v>-2.4876020021010437</v>
      </c>
    </row>
    <row r="53" spans="1:14" ht="18.75" customHeight="1" x14ac:dyDescent="0.3">
      <c r="A53" s="53">
        <v>47</v>
      </c>
      <c r="B53" s="2">
        <v>36738</v>
      </c>
      <c r="C53" s="89" t="s">
        <v>18</v>
      </c>
      <c r="D53" s="8">
        <v>1434</v>
      </c>
      <c r="E53" s="10">
        <v>350</v>
      </c>
      <c r="F53" s="4">
        <v>0.16</v>
      </c>
      <c r="G53" s="3">
        <v>125</v>
      </c>
      <c r="H53" s="80">
        <f t="shared" si="0"/>
        <v>76.650524180483316</v>
      </c>
      <c r="I53" s="81">
        <f t="shared" si="1"/>
        <v>1.8845151291566435</v>
      </c>
      <c r="J53" s="80">
        <f t="shared" si="2"/>
        <v>-0.79588001734407521</v>
      </c>
      <c r="K53" s="82">
        <f t="shared" si="3"/>
        <v>5.1570102891128795E-3</v>
      </c>
      <c r="L53" s="80">
        <f t="shared" si="4"/>
        <v>203.48222127655308</v>
      </c>
      <c r="M53" s="83">
        <f t="shared" si="5"/>
        <v>2.3085264698816896</v>
      </c>
      <c r="N53" s="83">
        <f t="shared" si="6"/>
        <v>-2.2876020021010435</v>
      </c>
    </row>
    <row r="54" spans="1:14" ht="18.75" customHeight="1" x14ac:dyDescent="0.3">
      <c r="A54" s="53">
        <v>48</v>
      </c>
      <c r="B54" s="2">
        <v>36738</v>
      </c>
      <c r="C54" s="89" t="s">
        <v>23</v>
      </c>
      <c r="D54" s="8">
        <v>2404</v>
      </c>
      <c r="E54" s="10">
        <v>350</v>
      </c>
      <c r="F54" s="4">
        <v>0.09</v>
      </c>
      <c r="G54" s="3">
        <v>116</v>
      </c>
      <c r="H54" s="80">
        <f t="shared" si="0"/>
        <v>128.49920511149364</v>
      </c>
      <c r="I54" s="81">
        <f t="shared" si="1"/>
        <v>2.1089004411555639</v>
      </c>
      <c r="J54" s="80">
        <f t="shared" si="2"/>
        <v>-1.0457574905606752</v>
      </c>
      <c r="K54" s="82">
        <f t="shared" si="3"/>
        <v>1.8297762989925629E-3</v>
      </c>
      <c r="L54" s="80">
        <f t="shared" si="4"/>
        <v>341.12361223768033</v>
      </c>
      <c r="M54" s="83">
        <f t="shared" si="5"/>
        <v>2.5329117818806099</v>
      </c>
      <c r="N54" s="83">
        <f t="shared" si="6"/>
        <v>-2.7376020021010432</v>
      </c>
    </row>
    <row r="55" spans="1:14" ht="18.75" customHeight="1" x14ac:dyDescent="0.3">
      <c r="A55" s="53">
        <v>49</v>
      </c>
      <c r="B55" s="2">
        <v>36738</v>
      </c>
      <c r="C55" s="89" t="s">
        <v>20</v>
      </c>
      <c r="D55" s="8">
        <v>2804</v>
      </c>
      <c r="E55" s="10">
        <v>350</v>
      </c>
      <c r="F55" s="4">
        <v>0.04</v>
      </c>
      <c r="G55" s="3">
        <v>112</v>
      </c>
      <c r="H55" s="80">
        <f t="shared" si="0"/>
        <v>149.88010446448757</v>
      </c>
      <c r="I55" s="81">
        <f t="shared" si="1"/>
        <v>2.1757439871194832</v>
      </c>
      <c r="J55" s="80">
        <f t="shared" si="2"/>
        <v>-1.3979400086720375</v>
      </c>
      <c r="K55" s="82">
        <f t="shared" si="3"/>
        <v>1.1545107946051418E-3</v>
      </c>
      <c r="L55" s="80">
        <f t="shared" si="4"/>
        <v>397.88294871649566</v>
      </c>
      <c r="M55" s="83">
        <f t="shared" si="5"/>
        <v>2.5997553278445293</v>
      </c>
      <c r="N55" s="83">
        <f t="shared" si="6"/>
        <v>-2.9376020021010438</v>
      </c>
    </row>
    <row r="56" spans="1:14" ht="18.75" customHeight="1" x14ac:dyDescent="0.3">
      <c r="A56" s="53">
        <v>50</v>
      </c>
      <c r="B56" s="2">
        <v>37106</v>
      </c>
      <c r="C56" s="89" t="s">
        <v>22</v>
      </c>
      <c r="D56" s="8">
        <v>264</v>
      </c>
      <c r="E56" s="10">
        <v>365</v>
      </c>
      <c r="F56" s="4">
        <v>1.05</v>
      </c>
      <c r="G56" s="3">
        <v>130</v>
      </c>
      <c r="H56" s="80">
        <f t="shared" si="0"/>
        <v>13.818391556381643</v>
      </c>
      <c r="I56" s="81">
        <f t="shared" si="1"/>
        <v>1.1404574946415937</v>
      </c>
      <c r="J56" s="80">
        <f t="shared" si="2"/>
        <v>2.1189299069938092E-2</v>
      </c>
      <c r="K56" s="82">
        <f t="shared" si="3"/>
        <v>9.1706052144883161E-3</v>
      </c>
      <c r="L56" s="80">
        <f t="shared" si="4"/>
        <v>36.940800763747419</v>
      </c>
      <c r="M56" s="83">
        <f t="shared" si="5"/>
        <v>1.5675063053843394</v>
      </c>
      <c r="N56" s="83">
        <f t="shared" si="6"/>
        <v>-2.037602002101043</v>
      </c>
    </row>
    <row r="57" spans="1:14" ht="18.75" customHeight="1" x14ac:dyDescent="0.3">
      <c r="A57" s="53">
        <v>51</v>
      </c>
      <c r="B57" s="2">
        <v>37106</v>
      </c>
      <c r="C57" s="89" t="s">
        <v>17</v>
      </c>
      <c r="D57" s="8">
        <v>710</v>
      </c>
      <c r="E57" s="10">
        <v>365</v>
      </c>
      <c r="F57" s="4">
        <v>0.41</v>
      </c>
      <c r="G57" s="3">
        <v>123</v>
      </c>
      <c r="H57" s="80">
        <f t="shared" si="0"/>
        <v>37.163098503905175</v>
      </c>
      <c r="I57" s="81">
        <f t="shared" si="1"/>
        <v>1.5701119164908379</v>
      </c>
      <c r="J57" s="80">
        <f t="shared" si="2"/>
        <v>-0.38721614328026455</v>
      </c>
      <c r="K57" s="82">
        <f t="shared" si="3"/>
        <v>4.0963588794059938E-3</v>
      </c>
      <c r="L57" s="80">
        <f t="shared" si="4"/>
        <v>99.348365690381314</v>
      </c>
      <c r="M57" s="83">
        <f t="shared" si="5"/>
        <v>1.9971607272335836</v>
      </c>
      <c r="N57" s="83">
        <f t="shared" si="6"/>
        <v>-2.3876020021010431</v>
      </c>
    </row>
    <row r="58" spans="1:14" ht="18.75" customHeight="1" x14ac:dyDescent="0.3">
      <c r="A58" s="53">
        <v>52</v>
      </c>
      <c r="B58" s="2">
        <v>37106</v>
      </c>
      <c r="C58" s="89" t="s">
        <v>18</v>
      </c>
      <c r="D58" s="8">
        <v>1056</v>
      </c>
      <c r="E58" s="10">
        <v>365</v>
      </c>
      <c r="F58" s="4">
        <v>0.28000000000000003</v>
      </c>
      <c r="G58" s="3">
        <v>120</v>
      </c>
      <c r="H58" s="80">
        <f t="shared" si="0"/>
        <v>55.273566225526572</v>
      </c>
      <c r="I58" s="81">
        <f t="shared" si="1"/>
        <v>1.7425174859695562</v>
      </c>
      <c r="J58" s="80">
        <f t="shared" si="2"/>
        <v>-0.55284196865778079</v>
      </c>
      <c r="K58" s="82">
        <f t="shared" si="3"/>
        <v>2.8999999999999998E-3</v>
      </c>
      <c r="L58" s="80">
        <f t="shared" si="4"/>
        <v>147.76320305498967</v>
      </c>
      <c r="M58" s="83">
        <f t="shared" si="5"/>
        <v>2.1695662967123019</v>
      </c>
      <c r="N58" s="83">
        <f t="shared" si="6"/>
        <v>-2.5376020021010439</v>
      </c>
    </row>
    <row r="59" spans="1:14" ht="18.75" customHeight="1" x14ac:dyDescent="0.3">
      <c r="A59" s="53">
        <v>53</v>
      </c>
      <c r="B59" s="2">
        <v>37106</v>
      </c>
      <c r="C59" s="89" t="s">
        <v>23</v>
      </c>
      <c r="D59" s="8">
        <v>1690</v>
      </c>
      <c r="E59" s="10">
        <v>365</v>
      </c>
      <c r="F59" s="4">
        <v>0.16</v>
      </c>
      <c r="G59" s="3">
        <v>114</v>
      </c>
      <c r="H59" s="80">
        <f t="shared" si="0"/>
        <v>88.458642917746118</v>
      </c>
      <c r="I59" s="81">
        <f t="shared" si="1"/>
        <v>1.9467402723854361</v>
      </c>
      <c r="J59" s="80">
        <f t="shared" si="2"/>
        <v>-0.79588001734407521</v>
      </c>
      <c r="K59" s="82">
        <f t="shared" si="3"/>
        <v>1.4534429775190931E-3</v>
      </c>
      <c r="L59" s="80">
        <f t="shared" si="4"/>
        <v>236.4770957982316</v>
      </c>
      <c r="M59" s="83">
        <f t="shared" si="5"/>
        <v>2.373789083128182</v>
      </c>
      <c r="N59" s="83">
        <f t="shared" si="6"/>
        <v>-2.8376020021010429</v>
      </c>
    </row>
    <row r="60" spans="1:14" ht="18.75" customHeight="1" x14ac:dyDescent="0.3">
      <c r="A60" s="53">
        <v>54</v>
      </c>
      <c r="B60" s="2">
        <v>37106</v>
      </c>
      <c r="C60" s="89" t="s">
        <v>21</v>
      </c>
      <c r="D60" s="8">
        <v>3220</v>
      </c>
      <c r="E60" s="10">
        <v>365</v>
      </c>
      <c r="F60" s="4">
        <v>0.05</v>
      </c>
      <c r="G60" s="3">
        <v>112</v>
      </c>
      <c r="H60" s="80">
        <f t="shared" si="0"/>
        <v>168.54250307404882</v>
      </c>
      <c r="I60" s="81">
        <f t="shared" si="1"/>
        <v>2.2267094394675935</v>
      </c>
      <c r="J60" s="80">
        <f t="shared" si="2"/>
        <v>-1.3010299956639813</v>
      </c>
      <c r="K60" s="82">
        <f t="shared" si="3"/>
        <v>1.1545107946051418E-3</v>
      </c>
      <c r="L60" s="80">
        <f t="shared" si="4"/>
        <v>450.5658274972223</v>
      </c>
      <c r="M60" s="83">
        <f t="shared" si="5"/>
        <v>2.6537582502103394</v>
      </c>
      <c r="N60" s="83">
        <f t="shared" si="6"/>
        <v>-2.9376020021010438</v>
      </c>
    </row>
    <row r="61" spans="1:14" ht="18.75" customHeight="1" x14ac:dyDescent="0.3">
      <c r="A61" s="53">
        <v>55</v>
      </c>
      <c r="B61" s="2">
        <v>37106</v>
      </c>
      <c r="C61" s="89" t="s">
        <v>9</v>
      </c>
      <c r="D61" s="8">
        <v>710</v>
      </c>
      <c r="E61" s="10">
        <v>365</v>
      </c>
      <c r="F61" s="4">
        <v>0.74</v>
      </c>
      <c r="G61" s="3">
        <v>128</v>
      </c>
      <c r="H61" s="80">
        <f t="shared" si="0"/>
        <v>37.163098503905175</v>
      </c>
      <c r="I61" s="81">
        <f t="shared" si="1"/>
        <v>1.5701119164908379</v>
      </c>
      <c r="J61" s="80">
        <f t="shared" si="2"/>
        <v>-0.13076828026902382</v>
      </c>
      <c r="K61" s="82">
        <f t="shared" si="3"/>
        <v>7.2844706513778019E-3</v>
      </c>
      <c r="L61" s="80">
        <f t="shared" si="4"/>
        <v>99.348365690381314</v>
      </c>
      <c r="M61" s="83">
        <f t="shared" si="5"/>
        <v>1.9971607272335836</v>
      </c>
      <c r="N61" s="83">
        <f t="shared" si="6"/>
        <v>-2.1376020021010427</v>
      </c>
    </row>
    <row r="62" spans="1:14" ht="18.75" customHeight="1" x14ac:dyDescent="0.3">
      <c r="A62" s="53">
        <v>56</v>
      </c>
      <c r="B62" s="2">
        <v>37106</v>
      </c>
      <c r="C62" s="89" t="s">
        <v>10</v>
      </c>
      <c r="D62" s="8">
        <v>824</v>
      </c>
      <c r="E62" s="10">
        <v>365</v>
      </c>
      <c r="F62" s="4">
        <v>0.22</v>
      </c>
      <c r="G62" s="3">
        <v>122</v>
      </c>
      <c r="H62" s="80">
        <f t="shared" si="0"/>
        <v>43.130131221433615</v>
      </c>
      <c r="I62" s="81">
        <f t="shared" si="1"/>
        <v>1.6347807794688785</v>
      </c>
      <c r="J62" s="80">
        <f t="shared" si="2"/>
        <v>-0.65757731917779372</v>
      </c>
      <c r="K62" s="82">
        <f t="shared" si="3"/>
        <v>3.6508836942030862E-3</v>
      </c>
      <c r="L62" s="80">
        <f t="shared" si="4"/>
        <v>115.30007511109044</v>
      </c>
      <c r="M62" s="83">
        <f t="shared" si="5"/>
        <v>2.0618295902116244</v>
      </c>
      <c r="N62" s="83">
        <f t="shared" si="6"/>
        <v>-2.4376020021010438</v>
      </c>
    </row>
    <row r="63" spans="1:14" ht="18.75" customHeight="1" x14ac:dyDescent="0.3">
      <c r="A63" s="53">
        <v>57</v>
      </c>
      <c r="B63" s="2">
        <v>37106</v>
      </c>
      <c r="C63" s="89" t="s">
        <v>11</v>
      </c>
      <c r="D63" s="8">
        <v>1214</v>
      </c>
      <c r="E63" s="10">
        <v>365</v>
      </c>
      <c r="F63" s="4">
        <v>0.14000000000000001</v>
      </c>
      <c r="G63" s="3">
        <v>117</v>
      </c>
      <c r="H63" s="80">
        <f t="shared" si="0"/>
        <v>63.54366420245195</v>
      </c>
      <c r="I63" s="81">
        <f t="shared" si="1"/>
        <v>1.8030722545110014</v>
      </c>
      <c r="J63" s="80">
        <f t="shared" si="2"/>
        <v>-0.85387196432176193</v>
      </c>
      <c r="K63" s="82">
        <f t="shared" si="3"/>
        <v>2.0530427747140019E-3</v>
      </c>
      <c r="L63" s="80">
        <f t="shared" si="4"/>
        <v>169.87171260299002</v>
      </c>
      <c r="M63" s="83">
        <f t="shared" si="5"/>
        <v>2.2301210652537473</v>
      </c>
      <c r="N63" s="83">
        <f t="shared" si="6"/>
        <v>-2.6876020021010434</v>
      </c>
    </row>
    <row r="64" spans="1:14" ht="18.75" customHeight="1" x14ac:dyDescent="0.3">
      <c r="A64" s="53">
        <v>58</v>
      </c>
      <c r="B64" s="2">
        <v>37106</v>
      </c>
      <c r="C64" s="89" t="s">
        <v>12</v>
      </c>
      <c r="D64" s="8">
        <v>1436</v>
      </c>
      <c r="E64" s="10">
        <v>365</v>
      </c>
      <c r="F64" s="4">
        <v>0.31</v>
      </c>
      <c r="G64" s="3">
        <v>114</v>
      </c>
      <c r="H64" s="80">
        <f t="shared" si="0"/>
        <v>75.163675283954689</v>
      </c>
      <c r="I64" s="81">
        <f t="shared" si="1"/>
        <v>1.8760080076780441</v>
      </c>
      <c r="J64" s="80">
        <f t="shared" si="2"/>
        <v>-0.50863830616572736</v>
      </c>
      <c r="K64" s="82">
        <f t="shared" si="3"/>
        <v>1.4534429775190931E-3</v>
      </c>
      <c r="L64" s="80">
        <f t="shared" si="4"/>
        <v>200.93556779068672</v>
      </c>
      <c r="M64" s="83">
        <f t="shared" si="5"/>
        <v>2.30305681842079</v>
      </c>
      <c r="N64" s="83">
        <f t="shared" si="6"/>
        <v>-2.8376020021010429</v>
      </c>
    </row>
    <row r="65" spans="1:14" ht="18.75" customHeight="1" x14ac:dyDescent="0.3">
      <c r="A65" s="53">
        <v>59</v>
      </c>
      <c r="B65" s="2">
        <v>37106</v>
      </c>
      <c r="C65" s="89" t="s">
        <v>13</v>
      </c>
      <c r="D65" s="8">
        <v>3220</v>
      </c>
      <c r="E65" s="10">
        <v>365</v>
      </c>
      <c r="F65" s="4">
        <v>0.05</v>
      </c>
      <c r="G65" s="3">
        <v>109</v>
      </c>
      <c r="H65" s="80">
        <f t="shared" si="0"/>
        <v>168.54250307404882</v>
      </c>
      <c r="I65" s="81">
        <f t="shared" si="1"/>
        <v>2.2267094394675935</v>
      </c>
      <c r="J65" s="80">
        <f t="shared" si="2"/>
        <v>-1.3010299956639813</v>
      </c>
      <c r="K65" s="82">
        <f t="shared" si="3"/>
        <v>8.1733105006669257E-4</v>
      </c>
      <c r="L65" s="80">
        <f t="shared" si="4"/>
        <v>450.5658274972223</v>
      </c>
      <c r="M65" s="83">
        <f t="shared" si="5"/>
        <v>2.6537582502103394</v>
      </c>
      <c r="N65" s="83">
        <f t="shared" si="6"/>
        <v>-3.0876020021010433</v>
      </c>
    </row>
    <row r="66" spans="1:14" ht="18.75" customHeight="1" x14ac:dyDescent="0.3">
      <c r="A66" s="53">
        <v>60</v>
      </c>
      <c r="B66" s="2">
        <v>36741</v>
      </c>
      <c r="C66" s="89" t="s">
        <v>35</v>
      </c>
      <c r="D66" s="8">
        <v>100</v>
      </c>
      <c r="E66" s="10">
        <v>414</v>
      </c>
      <c r="F66" s="4">
        <v>4.2</v>
      </c>
      <c r="G66" s="3">
        <v>137</v>
      </c>
      <c r="H66" s="80">
        <f t="shared" si="0"/>
        <v>4.9147318718299049</v>
      </c>
      <c r="I66" s="81">
        <f t="shared" si="1"/>
        <v>0.69149982943955057</v>
      </c>
      <c r="J66" s="80">
        <f t="shared" si="2"/>
        <v>0.62324929039790045</v>
      </c>
      <c r="K66" s="82">
        <f t="shared" si="3"/>
        <v>2.0530427747140007E-2</v>
      </c>
      <c r="L66" s="80">
        <f t="shared" si="4"/>
        <v>13.417343950607707</v>
      </c>
      <c r="M66" s="83">
        <f t="shared" si="5"/>
        <v>1.1276665529597005</v>
      </c>
      <c r="N66" s="83">
        <f t="shared" si="6"/>
        <v>-1.6876020021010438</v>
      </c>
    </row>
    <row r="67" spans="1:14" ht="18.75" customHeight="1" x14ac:dyDescent="0.3">
      <c r="A67" s="53">
        <v>61</v>
      </c>
      <c r="B67" s="2">
        <v>36741</v>
      </c>
      <c r="C67" s="89" t="s">
        <v>34</v>
      </c>
      <c r="D67" s="8">
        <v>563</v>
      </c>
      <c r="E67" s="10">
        <v>414</v>
      </c>
      <c r="F67" s="4">
        <v>0.79</v>
      </c>
      <c r="G67" s="3">
        <v>123</v>
      </c>
      <c r="H67" s="80">
        <f t="shared" si="0"/>
        <v>27.669940438402364</v>
      </c>
      <c r="I67" s="81">
        <f t="shared" si="1"/>
        <v>1.4420082242908967</v>
      </c>
      <c r="J67" s="80">
        <f t="shared" si="2"/>
        <v>-0.10237290870955855</v>
      </c>
      <c r="K67" s="82">
        <f t="shared" si="3"/>
        <v>4.0963588794059938E-3</v>
      </c>
      <c r="L67" s="80">
        <f t="shared" si="4"/>
        <v>75.539646441921391</v>
      </c>
      <c r="M67" s="83">
        <f t="shared" si="5"/>
        <v>1.8781749478110468</v>
      </c>
      <c r="N67" s="83">
        <f t="shared" si="6"/>
        <v>-2.3876020021010431</v>
      </c>
    </row>
    <row r="68" spans="1:14" ht="18.75" customHeight="1" x14ac:dyDescent="0.3">
      <c r="A68" s="53">
        <v>62</v>
      </c>
      <c r="B68" s="2">
        <v>36741</v>
      </c>
      <c r="C68" s="89" t="s">
        <v>22</v>
      </c>
      <c r="D68" s="8">
        <v>620</v>
      </c>
      <c r="E68" s="10">
        <v>414</v>
      </c>
      <c r="F68" s="4">
        <v>0.65</v>
      </c>
      <c r="G68" s="3">
        <v>119</v>
      </c>
      <c r="H68" s="80">
        <f t="shared" si="0"/>
        <v>30.471337605345408</v>
      </c>
      <c r="I68" s="81">
        <f t="shared" si="1"/>
        <v>1.4838915189378044</v>
      </c>
      <c r="J68" s="80">
        <f t="shared" si="2"/>
        <v>-0.18708664335714442</v>
      </c>
      <c r="K68" s="82">
        <f t="shared" si="3"/>
        <v>2.5846277205878667E-3</v>
      </c>
      <c r="L68" s="80">
        <f t="shared" si="4"/>
        <v>83.187532493767776</v>
      </c>
      <c r="M68" s="83">
        <f t="shared" si="5"/>
        <v>1.9200582424579544</v>
      </c>
      <c r="N68" s="83">
        <f t="shared" si="6"/>
        <v>-2.5876020021010433</v>
      </c>
    </row>
    <row r="69" spans="1:14" ht="18.75" customHeight="1" x14ac:dyDescent="0.3">
      <c r="A69" s="53">
        <v>63</v>
      </c>
      <c r="B69" s="2">
        <v>36741</v>
      </c>
      <c r="C69" s="89" t="s">
        <v>17</v>
      </c>
      <c r="D69" s="8">
        <v>857</v>
      </c>
      <c r="E69" s="10">
        <v>414</v>
      </c>
      <c r="F69" s="4">
        <v>0.45</v>
      </c>
      <c r="G69" s="3">
        <v>117</v>
      </c>
      <c r="H69" s="80">
        <f t="shared" si="0"/>
        <v>42.11925214158228</v>
      </c>
      <c r="I69" s="81">
        <f t="shared" si="1"/>
        <v>1.6244806513627488</v>
      </c>
      <c r="J69" s="80">
        <f t="shared" si="2"/>
        <v>-0.34678748622465633</v>
      </c>
      <c r="K69" s="82">
        <f t="shared" si="3"/>
        <v>2.0530427747140019E-3</v>
      </c>
      <c r="L69" s="80">
        <f t="shared" si="4"/>
        <v>114.98663765670804</v>
      </c>
      <c r="M69" s="83">
        <f t="shared" si="5"/>
        <v>2.0606473748828988</v>
      </c>
      <c r="N69" s="83">
        <f t="shared" si="6"/>
        <v>-2.6876020021010434</v>
      </c>
    </row>
    <row r="70" spans="1:14" ht="18.75" customHeight="1" x14ac:dyDescent="0.3">
      <c r="A70" s="53">
        <v>64</v>
      </c>
      <c r="B70" s="2">
        <v>36741</v>
      </c>
      <c r="C70" s="89" t="s">
        <v>18</v>
      </c>
      <c r="D70" s="8">
        <v>1387</v>
      </c>
      <c r="E70" s="10">
        <v>414</v>
      </c>
      <c r="F70" s="4">
        <v>0.16</v>
      </c>
      <c r="G70" s="3">
        <v>119</v>
      </c>
      <c r="H70" s="80">
        <f t="shared" si="0"/>
        <v>68.16733106228078</v>
      </c>
      <c r="I70" s="81">
        <f t="shared" si="1"/>
        <v>1.8335762905128354</v>
      </c>
      <c r="J70" s="80">
        <f t="shared" si="2"/>
        <v>-0.79588001734407521</v>
      </c>
      <c r="K70" s="82">
        <f t="shared" si="3"/>
        <v>2.5846277205878667E-3</v>
      </c>
      <c r="L70" s="80">
        <f t="shared" si="4"/>
        <v>186.0985605949289</v>
      </c>
      <c r="M70" s="83">
        <f t="shared" si="5"/>
        <v>2.2697430140329855</v>
      </c>
      <c r="N70" s="83">
        <f t="shared" si="6"/>
        <v>-2.5876020021010433</v>
      </c>
    </row>
    <row r="71" spans="1:14" ht="18.75" customHeight="1" x14ac:dyDescent="0.3">
      <c r="A71" s="53">
        <v>65</v>
      </c>
      <c r="B71" s="2">
        <v>36741</v>
      </c>
      <c r="C71" s="89" t="s">
        <v>23</v>
      </c>
      <c r="D71" s="8">
        <v>2150</v>
      </c>
      <c r="E71" s="10">
        <v>414</v>
      </c>
      <c r="F71" s="4">
        <v>0.15</v>
      </c>
      <c r="G71" s="3">
        <v>116</v>
      </c>
      <c r="H71" s="80">
        <f t="shared" si="0"/>
        <v>105.66673524434295</v>
      </c>
      <c r="I71" s="81">
        <f t="shared" si="1"/>
        <v>2.0239382893551561</v>
      </c>
      <c r="J71" s="80">
        <f t="shared" si="2"/>
        <v>-0.82390874094431876</v>
      </c>
      <c r="K71" s="82">
        <f t="shared" si="3"/>
        <v>1.8297762989925629E-3</v>
      </c>
      <c r="L71" s="80">
        <f t="shared" si="4"/>
        <v>288.47289493806568</v>
      </c>
      <c r="M71" s="83">
        <f t="shared" si="5"/>
        <v>2.4601050128753057</v>
      </c>
      <c r="N71" s="83">
        <f t="shared" si="6"/>
        <v>-2.7376020021010432</v>
      </c>
    </row>
    <row r="72" spans="1:14" ht="18.75" customHeight="1" x14ac:dyDescent="0.3">
      <c r="A72" s="53">
        <v>66</v>
      </c>
      <c r="B72" s="2">
        <v>36741</v>
      </c>
      <c r="C72" s="89" t="s">
        <v>20</v>
      </c>
      <c r="D72" s="8">
        <v>2250</v>
      </c>
      <c r="E72" s="10">
        <v>414</v>
      </c>
      <c r="F72" s="4">
        <v>0.11</v>
      </c>
      <c r="G72" s="3">
        <v>109</v>
      </c>
      <c r="H72" s="80">
        <f t="shared" ref="H72:H135" si="7">IF(OR(D72="",E72="",D72=0,E72=0),NA(),D72/(E72^0.5))</f>
        <v>110.58146711617286</v>
      </c>
      <c r="I72" s="81">
        <f t="shared" ref="I72:I135" si="8">IFERROR(LOG(H72),NA())</f>
        <v>2.0436823475509129</v>
      </c>
      <c r="J72" s="80">
        <f t="shared" ref="J72:J135" si="9">IFERROR(LOG(F72),NA())</f>
        <v>-0.95860731484177497</v>
      </c>
      <c r="K72" s="82">
        <f t="shared" ref="K72:K135" si="10">IF(OR(G72=0,G72=""),NA(),(10^(G72/20))*0.0000000029)</f>
        <v>8.1733105006669257E-4</v>
      </c>
      <c r="L72" s="80">
        <f t="shared" ref="L72:L135" si="11">IF(OR(D72="",D72=0,E72="",E72=0),NA(),D72/(E72^(1/3)))</f>
        <v>301.89023888867342</v>
      </c>
      <c r="M72" s="83">
        <f t="shared" ref="M72:M135" si="12">IFERROR(LOG(L72),NA())</f>
        <v>2.479849071071063</v>
      </c>
      <c r="N72" s="83">
        <f t="shared" ref="N72:N135" si="13">IFERROR(LOG(K72),NA())</f>
        <v>-3.0876020021010433</v>
      </c>
    </row>
    <row r="73" spans="1:14" ht="18.75" customHeight="1" x14ac:dyDescent="0.3">
      <c r="A73" s="53">
        <v>67</v>
      </c>
      <c r="B73" s="2">
        <v>36741</v>
      </c>
      <c r="C73" s="89" t="s">
        <v>21</v>
      </c>
      <c r="D73" s="8">
        <v>2750</v>
      </c>
      <c r="E73" s="10">
        <v>414</v>
      </c>
      <c r="F73" s="4">
        <v>0.1</v>
      </c>
      <c r="G73" s="3">
        <v>109</v>
      </c>
      <c r="H73" s="80">
        <f t="shared" si="7"/>
        <v>135.15512647532239</v>
      </c>
      <c r="I73" s="81">
        <f t="shared" si="8"/>
        <v>2.1308325232698131</v>
      </c>
      <c r="J73" s="80">
        <f t="shared" si="9"/>
        <v>-1</v>
      </c>
      <c r="K73" s="82">
        <f t="shared" si="10"/>
        <v>8.1733105006669257E-4</v>
      </c>
      <c r="L73" s="80">
        <f t="shared" si="11"/>
        <v>368.97695864171192</v>
      </c>
      <c r="M73" s="83">
        <f t="shared" si="12"/>
        <v>2.5669992467899632</v>
      </c>
      <c r="N73" s="83">
        <f t="shared" si="13"/>
        <v>-3.0876020021010433</v>
      </c>
    </row>
    <row r="74" spans="1:14" ht="18.75" customHeight="1" x14ac:dyDescent="0.3">
      <c r="A74" s="53">
        <v>68</v>
      </c>
      <c r="B74" s="2">
        <v>36742</v>
      </c>
      <c r="C74" s="89" t="s">
        <v>34</v>
      </c>
      <c r="D74" s="8">
        <v>183</v>
      </c>
      <c r="E74" s="10">
        <v>285.5</v>
      </c>
      <c r="F74" s="4">
        <v>1.84</v>
      </c>
      <c r="G74" s="3">
        <v>134</v>
      </c>
      <c r="H74" s="80">
        <f t="shared" si="7"/>
        <v>10.830488197950933</v>
      </c>
      <c r="I74" s="81">
        <f t="shared" si="8"/>
        <v>1.0346480334394961</v>
      </c>
      <c r="J74" s="80">
        <f t="shared" si="9"/>
        <v>0.26481782300953649</v>
      </c>
      <c r="K74" s="82">
        <f t="shared" si="10"/>
        <v>1.453442977519092E-2</v>
      </c>
      <c r="L74" s="80">
        <f t="shared" si="11"/>
        <v>27.791738765061353</v>
      </c>
      <c r="M74" s="83">
        <f t="shared" si="12"/>
        <v>1.4439157188698071</v>
      </c>
      <c r="N74" s="83">
        <f t="shared" si="13"/>
        <v>-1.8376020021010433</v>
      </c>
    </row>
    <row r="75" spans="1:14" ht="18.75" customHeight="1" x14ac:dyDescent="0.3">
      <c r="A75" s="53">
        <v>69</v>
      </c>
      <c r="B75" s="2">
        <v>36742</v>
      </c>
      <c r="C75" s="89" t="s">
        <v>15</v>
      </c>
      <c r="D75" s="8">
        <v>100</v>
      </c>
      <c r="E75" s="10">
        <v>285.5</v>
      </c>
      <c r="F75" s="4">
        <v>4.2</v>
      </c>
      <c r="G75" s="3">
        <v>140</v>
      </c>
      <c r="H75" s="80">
        <f t="shared" si="7"/>
        <v>5.9182995617218213</v>
      </c>
      <c r="I75" s="81">
        <f t="shared" si="8"/>
        <v>0.77219694370906655</v>
      </c>
      <c r="J75" s="80">
        <f t="shared" si="9"/>
        <v>0.62324929039790045</v>
      </c>
      <c r="K75" s="82">
        <f t="shared" si="10"/>
        <v>2.8999999999999998E-2</v>
      </c>
      <c r="L75" s="80">
        <f t="shared" si="11"/>
        <v>15.186742494569046</v>
      </c>
      <c r="M75" s="83">
        <f t="shared" si="12"/>
        <v>1.1814646291393778</v>
      </c>
      <c r="N75" s="83">
        <f t="shared" si="13"/>
        <v>-1.5376020021010439</v>
      </c>
    </row>
    <row r="76" spans="1:14" ht="18.75" customHeight="1" x14ac:dyDescent="0.3">
      <c r="A76" s="53">
        <v>70</v>
      </c>
      <c r="B76" s="2">
        <v>36742</v>
      </c>
      <c r="C76" s="89" t="s">
        <v>22</v>
      </c>
      <c r="D76" s="8">
        <v>383</v>
      </c>
      <c r="E76" s="10">
        <v>285.5</v>
      </c>
      <c r="F76" s="4">
        <v>1.28</v>
      </c>
      <c r="G76" s="3">
        <v>128</v>
      </c>
      <c r="H76" s="80">
        <f t="shared" si="7"/>
        <v>22.667087321394575</v>
      </c>
      <c r="I76" s="81">
        <f t="shared" si="8"/>
        <v>1.3553957176776892</v>
      </c>
      <c r="J76" s="80">
        <f t="shared" si="9"/>
        <v>0.10720996964786837</v>
      </c>
      <c r="K76" s="82">
        <f t="shared" si="10"/>
        <v>7.2844706513778019E-3</v>
      </c>
      <c r="L76" s="80">
        <f t="shared" si="11"/>
        <v>58.165223754199445</v>
      </c>
      <c r="M76" s="83">
        <f t="shared" si="12"/>
        <v>1.7646634031080004</v>
      </c>
      <c r="N76" s="83">
        <f t="shared" si="13"/>
        <v>-2.1376020021010427</v>
      </c>
    </row>
    <row r="77" spans="1:14" ht="18.75" customHeight="1" x14ac:dyDescent="0.3">
      <c r="A77" s="53">
        <v>71</v>
      </c>
      <c r="B77" s="2">
        <v>36742</v>
      </c>
      <c r="C77" s="89" t="s">
        <v>17</v>
      </c>
      <c r="D77" s="8">
        <v>530</v>
      </c>
      <c r="E77" s="10">
        <v>285.5</v>
      </c>
      <c r="F77" s="4">
        <v>0.46</v>
      </c>
      <c r="G77" s="3">
        <v>122</v>
      </c>
      <c r="H77" s="80">
        <f t="shared" si="7"/>
        <v>31.366987677125653</v>
      </c>
      <c r="I77" s="81">
        <f t="shared" si="8"/>
        <v>1.4964728133098555</v>
      </c>
      <c r="J77" s="80">
        <f t="shared" si="9"/>
        <v>-0.33724216831842591</v>
      </c>
      <c r="K77" s="82">
        <f t="shared" si="10"/>
        <v>3.6508836942030862E-3</v>
      </c>
      <c r="L77" s="80">
        <f t="shared" si="11"/>
        <v>80.489735221215938</v>
      </c>
      <c r="M77" s="83">
        <f t="shared" si="12"/>
        <v>1.9057404987401667</v>
      </c>
      <c r="N77" s="83">
        <f t="shared" si="13"/>
        <v>-2.4376020021010438</v>
      </c>
    </row>
    <row r="78" spans="1:14" ht="18.75" customHeight="1" x14ac:dyDescent="0.3">
      <c r="A78" s="53">
        <v>72</v>
      </c>
      <c r="B78" s="2">
        <v>36742</v>
      </c>
      <c r="C78" s="89" t="s">
        <v>18</v>
      </c>
      <c r="D78" s="8">
        <v>1313</v>
      </c>
      <c r="E78" s="10">
        <v>285.5</v>
      </c>
      <c r="F78" s="4">
        <v>0.16</v>
      </c>
      <c r="G78" s="3">
        <v>119</v>
      </c>
      <c r="H78" s="80">
        <f t="shared" si="7"/>
        <v>77.707273245407507</v>
      </c>
      <c r="I78" s="81">
        <f t="shared" si="8"/>
        <v>1.8904616697985459</v>
      </c>
      <c r="J78" s="80">
        <f t="shared" si="9"/>
        <v>-0.79588001734407521</v>
      </c>
      <c r="K78" s="82">
        <f t="shared" si="10"/>
        <v>2.5846277205878667E-3</v>
      </c>
      <c r="L78" s="80">
        <f t="shared" si="11"/>
        <v>199.40192895369157</v>
      </c>
      <c r="M78" s="83">
        <f t="shared" si="12"/>
        <v>2.2997293552288571</v>
      </c>
      <c r="N78" s="83">
        <f t="shared" si="13"/>
        <v>-2.5876020021010433</v>
      </c>
    </row>
    <row r="79" spans="1:14" ht="18.75" customHeight="1" x14ac:dyDescent="0.3">
      <c r="A79" s="53">
        <v>73</v>
      </c>
      <c r="B79" s="2">
        <v>36742</v>
      </c>
      <c r="C79" s="89" t="s">
        <v>23</v>
      </c>
      <c r="D79" s="8">
        <v>2183</v>
      </c>
      <c r="E79" s="10">
        <v>285.5</v>
      </c>
      <c r="F79" s="4">
        <v>0.11</v>
      </c>
      <c r="G79" s="3">
        <v>117</v>
      </c>
      <c r="H79" s="80">
        <f t="shared" si="7"/>
        <v>129.19647943238735</v>
      </c>
      <c r="I79" s="81">
        <f t="shared" si="8"/>
        <v>2.1112506794182058</v>
      </c>
      <c r="J79" s="80">
        <f t="shared" si="9"/>
        <v>-0.95860731484177497</v>
      </c>
      <c r="K79" s="82">
        <f t="shared" si="10"/>
        <v>2.0530427747140019E-3</v>
      </c>
      <c r="L79" s="80">
        <f t="shared" si="11"/>
        <v>331.5265886564423</v>
      </c>
      <c r="M79" s="83">
        <f t="shared" si="12"/>
        <v>2.5205183648485168</v>
      </c>
      <c r="N79" s="83">
        <f t="shared" si="13"/>
        <v>-2.6876020021010434</v>
      </c>
    </row>
    <row r="80" spans="1:14" ht="18.75" customHeight="1" x14ac:dyDescent="0.3">
      <c r="A80" s="53">
        <v>74</v>
      </c>
      <c r="B80" s="2">
        <v>36742</v>
      </c>
      <c r="C80" s="89" t="s">
        <v>20</v>
      </c>
      <c r="D80" s="8">
        <v>2883</v>
      </c>
      <c r="E80" s="10">
        <v>285.5</v>
      </c>
      <c r="F80" s="4">
        <v>0.06</v>
      </c>
      <c r="G80" s="3">
        <v>114</v>
      </c>
      <c r="H80" s="80">
        <f t="shared" si="7"/>
        <v>170.62457636444012</v>
      </c>
      <c r="I80" s="81">
        <f t="shared" si="8"/>
        <v>2.2320415860972744</v>
      </c>
      <c r="J80" s="80">
        <f t="shared" si="9"/>
        <v>-1.2218487496163564</v>
      </c>
      <c r="K80" s="82">
        <f t="shared" si="10"/>
        <v>1.4534429775190931E-3</v>
      </c>
      <c r="L80" s="80">
        <f t="shared" si="11"/>
        <v>437.83378611842562</v>
      </c>
      <c r="M80" s="83">
        <f t="shared" si="12"/>
        <v>2.6413092715275854</v>
      </c>
      <c r="N80" s="83">
        <f t="shared" si="13"/>
        <v>-2.8376020021010429</v>
      </c>
    </row>
    <row r="81" spans="1:14" ht="18.75" customHeight="1" x14ac:dyDescent="0.3">
      <c r="A81" s="53">
        <v>75</v>
      </c>
      <c r="B81" s="2">
        <v>36742</v>
      </c>
      <c r="C81" s="89" t="s">
        <v>21</v>
      </c>
      <c r="D81" s="8">
        <v>2783</v>
      </c>
      <c r="E81" s="10">
        <v>285.5</v>
      </c>
      <c r="F81" s="4">
        <v>0.03</v>
      </c>
      <c r="G81" s="3">
        <v>114</v>
      </c>
      <c r="H81" s="80">
        <f t="shared" si="7"/>
        <v>164.70627680271829</v>
      </c>
      <c r="I81" s="81">
        <f t="shared" si="8"/>
        <v>2.2167101500431095</v>
      </c>
      <c r="J81" s="80">
        <f t="shared" si="9"/>
        <v>-1.5228787452803376</v>
      </c>
      <c r="K81" s="82">
        <f t="shared" si="10"/>
        <v>1.4534429775190931E-3</v>
      </c>
      <c r="L81" s="80">
        <f t="shared" si="11"/>
        <v>422.64704362385658</v>
      </c>
      <c r="M81" s="83">
        <f t="shared" si="12"/>
        <v>2.6259778354734209</v>
      </c>
      <c r="N81" s="83">
        <f t="shared" si="13"/>
        <v>-2.8376020021010429</v>
      </c>
    </row>
    <row r="82" spans="1:14" ht="18.75" customHeight="1" x14ac:dyDescent="0.3">
      <c r="A82" s="53">
        <v>76</v>
      </c>
      <c r="B82" s="2">
        <v>36746</v>
      </c>
      <c r="C82" s="89" t="s">
        <v>36</v>
      </c>
      <c r="D82" s="8">
        <v>100</v>
      </c>
      <c r="E82" s="10">
        <v>308</v>
      </c>
      <c r="F82" s="4">
        <v>3.96</v>
      </c>
      <c r="G82" s="3">
        <v>136</v>
      </c>
      <c r="H82" s="80">
        <f t="shared" si="7"/>
        <v>5.6980288229818967</v>
      </c>
      <c r="I82" s="81">
        <f t="shared" si="8"/>
        <v>0.75572464174977783</v>
      </c>
      <c r="J82" s="80">
        <f t="shared" si="9"/>
        <v>0.5976951859255123</v>
      </c>
      <c r="K82" s="82">
        <f t="shared" si="10"/>
        <v>1.8297762989925619E-2</v>
      </c>
      <c r="L82" s="80">
        <f t="shared" si="11"/>
        <v>14.807546137693759</v>
      </c>
      <c r="M82" s="83">
        <f t="shared" si="12"/>
        <v>1.1704830944998521</v>
      </c>
      <c r="N82" s="83">
        <f t="shared" si="13"/>
        <v>-1.7376020021010437</v>
      </c>
    </row>
    <row r="83" spans="1:14" ht="18.75" customHeight="1" x14ac:dyDescent="0.3">
      <c r="A83" s="53">
        <v>77</v>
      </c>
      <c r="B83" s="2">
        <v>36746</v>
      </c>
      <c r="C83" s="89" t="s">
        <v>37</v>
      </c>
      <c r="D83" s="8">
        <v>378</v>
      </c>
      <c r="E83" s="10">
        <v>308</v>
      </c>
      <c r="F83" s="4">
        <v>3.12</v>
      </c>
      <c r="G83" s="3">
        <v>123</v>
      </c>
      <c r="H83" s="80">
        <f t="shared" si="7"/>
        <v>21.538548950871572</v>
      </c>
      <c r="I83" s="81">
        <f t="shared" si="8"/>
        <v>1.3332164415870031</v>
      </c>
      <c r="J83" s="80">
        <f t="shared" si="9"/>
        <v>0.49415459401844281</v>
      </c>
      <c r="K83" s="82">
        <f t="shared" si="10"/>
        <v>4.0963588794059938E-3</v>
      </c>
      <c r="L83" s="80">
        <f t="shared" si="11"/>
        <v>55.972524400482413</v>
      </c>
      <c r="M83" s="83">
        <f t="shared" si="12"/>
        <v>1.7479748943370774</v>
      </c>
      <c r="N83" s="83">
        <f t="shared" si="13"/>
        <v>-2.3876020021010431</v>
      </c>
    </row>
    <row r="84" spans="1:14" ht="18.75" customHeight="1" x14ac:dyDescent="0.3">
      <c r="A84" s="53">
        <v>78</v>
      </c>
      <c r="B84" s="2">
        <v>36746</v>
      </c>
      <c r="C84" s="89" t="s">
        <v>38</v>
      </c>
      <c r="D84" s="8">
        <v>617</v>
      </c>
      <c r="E84" s="10">
        <v>308</v>
      </c>
      <c r="F84" s="4">
        <v>1.44</v>
      </c>
      <c r="G84" s="3">
        <v>120</v>
      </c>
      <c r="H84" s="80">
        <f t="shared" si="7"/>
        <v>35.156837837798307</v>
      </c>
      <c r="I84" s="81">
        <f t="shared" si="8"/>
        <v>1.5460098057830196</v>
      </c>
      <c r="J84" s="80">
        <f t="shared" si="9"/>
        <v>0.15836249209524964</v>
      </c>
      <c r="K84" s="82">
        <f t="shared" si="10"/>
        <v>2.8999999999999998E-3</v>
      </c>
      <c r="L84" s="80">
        <f t="shared" si="11"/>
        <v>91.362559669570501</v>
      </c>
      <c r="M84" s="83">
        <f t="shared" si="12"/>
        <v>1.9607682585330937</v>
      </c>
      <c r="N84" s="83">
        <f t="shared" si="13"/>
        <v>-2.5376020021010439</v>
      </c>
    </row>
    <row r="85" spans="1:14" ht="18.75" customHeight="1" x14ac:dyDescent="0.3">
      <c r="A85" s="53">
        <v>79</v>
      </c>
      <c r="B85" s="2">
        <v>36746</v>
      </c>
      <c r="C85" s="89" t="s">
        <v>39</v>
      </c>
      <c r="D85" s="8">
        <v>1315</v>
      </c>
      <c r="E85" s="10">
        <v>308</v>
      </c>
      <c r="F85" s="4">
        <v>0.51</v>
      </c>
      <c r="G85" s="3">
        <v>114</v>
      </c>
      <c r="H85" s="80">
        <f t="shared" si="7"/>
        <v>74.929079022211951</v>
      </c>
      <c r="I85" s="81">
        <f t="shared" si="8"/>
        <v>1.8746503945755546</v>
      </c>
      <c r="J85" s="80">
        <f t="shared" si="9"/>
        <v>-0.29242982390206362</v>
      </c>
      <c r="K85" s="82">
        <f t="shared" si="10"/>
        <v>1.4534429775190931E-3</v>
      </c>
      <c r="L85" s="80">
        <f t="shared" si="11"/>
        <v>194.71923171067294</v>
      </c>
      <c r="M85" s="83">
        <f t="shared" si="12"/>
        <v>2.2894088473256287</v>
      </c>
      <c r="N85" s="83">
        <f t="shared" si="13"/>
        <v>-2.8376020021010429</v>
      </c>
    </row>
    <row r="86" spans="1:14" ht="18.75" customHeight="1" x14ac:dyDescent="0.3">
      <c r="A86" s="53">
        <v>80</v>
      </c>
      <c r="B86" s="2">
        <v>36746</v>
      </c>
      <c r="C86" s="89" t="s">
        <v>40</v>
      </c>
      <c r="D86" s="8">
        <v>1906</v>
      </c>
      <c r="E86" s="10">
        <v>308</v>
      </c>
      <c r="F86" s="4">
        <v>0.41</v>
      </c>
      <c r="G86" s="3">
        <v>114</v>
      </c>
      <c r="H86" s="80">
        <f t="shared" si="7"/>
        <v>108.60442936603496</v>
      </c>
      <c r="I86" s="81">
        <f t="shared" si="8"/>
        <v>2.0358475380520855</v>
      </c>
      <c r="J86" s="80">
        <f t="shared" si="9"/>
        <v>-0.38721614328026455</v>
      </c>
      <c r="K86" s="82">
        <f t="shared" si="10"/>
        <v>1.4534429775190931E-3</v>
      </c>
      <c r="L86" s="80">
        <f t="shared" si="11"/>
        <v>282.23182938444307</v>
      </c>
      <c r="M86" s="83">
        <f t="shared" si="12"/>
        <v>2.4506059908021598</v>
      </c>
      <c r="N86" s="83">
        <f t="shared" si="13"/>
        <v>-2.8376020021010429</v>
      </c>
    </row>
    <row r="87" spans="1:14" ht="18.75" customHeight="1" x14ac:dyDescent="0.3">
      <c r="A87" s="53">
        <v>81</v>
      </c>
      <c r="B87" s="2">
        <v>36746</v>
      </c>
      <c r="C87" s="89" t="s">
        <v>41</v>
      </c>
      <c r="D87" s="8">
        <v>2456</v>
      </c>
      <c r="E87" s="10">
        <v>308</v>
      </c>
      <c r="F87" s="4">
        <v>0.19</v>
      </c>
      <c r="G87" s="3">
        <v>106</v>
      </c>
      <c r="H87" s="80">
        <f t="shared" si="7"/>
        <v>139.9435878924354</v>
      </c>
      <c r="I87" s="81">
        <f t="shared" si="8"/>
        <v>2.1459530042189079</v>
      </c>
      <c r="J87" s="80">
        <f t="shared" si="9"/>
        <v>-0.72124639904717103</v>
      </c>
      <c r="K87" s="82">
        <f t="shared" si="10"/>
        <v>5.786260713409755E-4</v>
      </c>
      <c r="L87" s="80">
        <f t="shared" si="11"/>
        <v>363.67333314175875</v>
      </c>
      <c r="M87" s="83">
        <f t="shared" si="12"/>
        <v>2.5607114569689822</v>
      </c>
      <c r="N87" s="83">
        <f t="shared" si="13"/>
        <v>-3.2376020021010437</v>
      </c>
    </row>
    <row r="88" spans="1:14" ht="18.75" customHeight="1" x14ac:dyDescent="0.3">
      <c r="A88" s="53">
        <v>82</v>
      </c>
      <c r="B88" s="2">
        <v>36746</v>
      </c>
      <c r="C88" s="89" t="s">
        <v>42</v>
      </c>
      <c r="D88" s="8">
        <v>3056</v>
      </c>
      <c r="E88" s="10">
        <v>308</v>
      </c>
      <c r="F88" s="4">
        <v>0.19</v>
      </c>
      <c r="G88" s="3">
        <v>106</v>
      </c>
      <c r="H88" s="80">
        <f t="shared" si="7"/>
        <v>174.13176083032678</v>
      </c>
      <c r="I88" s="81">
        <f t="shared" si="8"/>
        <v>2.2408779916534303</v>
      </c>
      <c r="J88" s="80">
        <f t="shared" si="9"/>
        <v>-0.72124639904717103</v>
      </c>
      <c r="K88" s="82">
        <f t="shared" si="10"/>
        <v>5.786260713409755E-4</v>
      </c>
      <c r="L88" s="80">
        <f t="shared" si="11"/>
        <v>452.51860996792129</v>
      </c>
      <c r="M88" s="83">
        <f t="shared" si="12"/>
        <v>2.6556364444035045</v>
      </c>
      <c r="N88" s="83">
        <f t="shared" si="13"/>
        <v>-3.2376020021010437</v>
      </c>
    </row>
    <row r="89" spans="1:14" ht="18.75" customHeight="1" x14ac:dyDescent="0.3">
      <c r="A89" s="53">
        <v>83</v>
      </c>
      <c r="B89" s="2">
        <v>36749</v>
      </c>
      <c r="C89" s="89" t="s">
        <v>36</v>
      </c>
      <c r="D89" s="8">
        <v>100</v>
      </c>
      <c r="E89" s="10">
        <v>346</v>
      </c>
      <c r="F89" s="4">
        <v>5.08</v>
      </c>
      <c r="G89" s="3">
        <v>137</v>
      </c>
      <c r="H89" s="80">
        <f t="shared" si="7"/>
        <v>5.3760333057047029</v>
      </c>
      <c r="I89" s="81">
        <f t="shared" si="8"/>
        <v>0.73046195060361163</v>
      </c>
      <c r="J89" s="80">
        <f t="shared" si="9"/>
        <v>0.70586371228391931</v>
      </c>
      <c r="K89" s="82">
        <f t="shared" si="10"/>
        <v>2.0530427747140007E-2</v>
      </c>
      <c r="L89" s="80">
        <f t="shared" si="11"/>
        <v>14.244306185952277</v>
      </c>
      <c r="M89" s="83">
        <f t="shared" si="12"/>
        <v>1.1536413004024078</v>
      </c>
      <c r="N89" s="83">
        <f t="shared" si="13"/>
        <v>-1.6876020021010438</v>
      </c>
    </row>
    <row r="90" spans="1:14" ht="18.75" customHeight="1" x14ac:dyDescent="0.3">
      <c r="A90" s="53">
        <v>84</v>
      </c>
      <c r="B90" s="2">
        <v>36749</v>
      </c>
      <c r="C90" s="89" t="s">
        <v>37</v>
      </c>
      <c r="D90" s="8">
        <v>378</v>
      </c>
      <c r="E90" s="10">
        <v>346</v>
      </c>
      <c r="F90" s="4">
        <v>2.08</v>
      </c>
      <c r="G90" s="3">
        <v>127</v>
      </c>
      <c r="H90" s="80">
        <f t="shared" si="7"/>
        <v>20.321405895563778</v>
      </c>
      <c r="I90" s="81">
        <f t="shared" si="8"/>
        <v>1.3079537504408369</v>
      </c>
      <c r="J90" s="80">
        <f t="shared" si="9"/>
        <v>0.31806333496276157</v>
      </c>
      <c r="K90" s="82">
        <f t="shared" si="10"/>
        <v>6.4922913018481826E-3</v>
      </c>
      <c r="L90" s="80">
        <f t="shared" si="11"/>
        <v>53.843477382899607</v>
      </c>
      <c r="M90" s="83">
        <f t="shared" si="12"/>
        <v>1.7311331002396331</v>
      </c>
      <c r="N90" s="83">
        <f t="shared" si="13"/>
        <v>-2.1876020021010443</v>
      </c>
    </row>
    <row r="91" spans="1:14" ht="18.75" customHeight="1" x14ac:dyDescent="0.3">
      <c r="A91" s="53">
        <v>85</v>
      </c>
      <c r="B91" s="2">
        <v>36749</v>
      </c>
      <c r="C91" s="89" t="s">
        <v>38</v>
      </c>
      <c r="D91" s="8">
        <v>617</v>
      </c>
      <c r="E91" s="10">
        <v>346</v>
      </c>
      <c r="F91" s="4">
        <v>1.72</v>
      </c>
      <c r="G91" s="3">
        <v>120</v>
      </c>
      <c r="H91" s="80">
        <f t="shared" si="7"/>
        <v>33.170125496198018</v>
      </c>
      <c r="I91" s="81">
        <f t="shared" si="8"/>
        <v>1.5207471146368534</v>
      </c>
      <c r="J91" s="80">
        <f t="shared" si="9"/>
        <v>0.2355284469075489</v>
      </c>
      <c r="K91" s="82">
        <f t="shared" si="10"/>
        <v>2.8999999999999998E-3</v>
      </c>
      <c r="L91" s="80">
        <f t="shared" si="11"/>
        <v>87.887369167325545</v>
      </c>
      <c r="M91" s="83">
        <f t="shared" si="12"/>
        <v>1.9439264644356495</v>
      </c>
      <c r="N91" s="83">
        <f t="shared" si="13"/>
        <v>-2.5376020021010439</v>
      </c>
    </row>
    <row r="92" spans="1:14" ht="18.75" customHeight="1" x14ac:dyDescent="0.3">
      <c r="A92" s="53">
        <v>86</v>
      </c>
      <c r="B92" s="2">
        <v>36749</v>
      </c>
      <c r="C92" s="89" t="s">
        <v>39</v>
      </c>
      <c r="D92" s="8">
        <v>1315</v>
      </c>
      <c r="E92" s="10">
        <v>346</v>
      </c>
      <c r="F92" s="4">
        <v>0.45</v>
      </c>
      <c r="G92" s="3">
        <v>117</v>
      </c>
      <c r="H92" s="80">
        <f t="shared" si="7"/>
        <v>70.694837970016849</v>
      </c>
      <c r="I92" s="81">
        <f t="shared" si="8"/>
        <v>1.8493877034293884</v>
      </c>
      <c r="J92" s="80">
        <f t="shared" si="9"/>
        <v>-0.34678748622465633</v>
      </c>
      <c r="K92" s="82">
        <f t="shared" si="10"/>
        <v>2.0530427747140019E-3</v>
      </c>
      <c r="L92" s="80">
        <f t="shared" si="11"/>
        <v>187.31262634527243</v>
      </c>
      <c r="M92" s="83">
        <f t="shared" si="12"/>
        <v>2.2725670532281845</v>
      </c>
      <c r="N92" s="83">
        <f t="shared" si="13"/>
        <v>-2.6876020021010434</v>
      </c>
    </row>
    <row r="93" spans="1:14" ht="18.75" customHeight="1" x14ac:dyDescent="0.3">
      <c r="A93" s="53">
        <v>87</v>
      </c>
      <c r="B93" s="2">
        <v>36749</v>
      </c>
      <c r="C93" s="89" t="s">
        <v>40</v>
      </c>
      <c r="D93" s="8">
        <v>1906</v>
      </c>
      <c r="E93" s="10">
        <v>346</v>
      </c>
      <c r="F93" s="4">
        <v>0.41</v>
      </c>
      <c r="G93" s="3">
        <v>116</v>
      </c>
      <c r="H93" s="80">
        <f t="shared" si="7"/>
        <v>102.46719480673164</v>
      </c>
      <c r="I93" s="81">
        <f t="shared" si="8"/>
        <v>2.0105848469059193</v>
      </c>
      <c r="J93" s="80">
        <f t="shared" si="9"/>
        <v>-0.38721614328026455</v>
      </c>
      <c r="K93" s="82">
        <f t="shared" si="10"/>
        <v>1.8297762989925629E-3</v>
      </c>
      <c r="L93" s="80">
        <f t="shared" si="11"/>
        <v>271.49647590425042</v>
      </c>
      <c r="M93" s="83">
        <f t="shared" si="12"/>
        <v>2.4337641967047152</v>
      </c>
      <c r="N93" s="83">
        <f t="shared" si="13"/>
        <v>-2.7376020021010432</v>
      </c>
    </row>
    <row r="94" spans="1:14" ht="18.75" customHeight="1" x14ac:dyDescent="0.3">
      <c r="A94" s="53">
        <v>88</v>
      </c>
      <c r="B94" s="2">
        <v>36749</v>
      </c>
      <c r="C94" s="89" t="s">
        <v>41</v>
      </c>
      <c r="D94" s="8">
        <v>2465</v>
      </c>
      <c r="E94" s="10">
        <v>346</v>
      </c>
      <c r="F94" s="4">
        <v>0.17</v>
      </c>
      <c r="G94" s="3">
        <v>109</v>
      </c>
      <c r="H94" s="80">
        <f t="shared" si="7"/>
        <v>132.51922098562093</v>
      </c>
      <c r="I94" s="81">
        <f t="shared" si="8"/>
        <v>2.1222788742168603</v>
      </c>
      <c r="J94" s="80">
        <f t="shared" si="9"/>
        <v>-0.769551078621726</v>
      </c>
      <c r="K94" s="82">
        <f t="shared" si="10"/>
        <v>8.1733105006669257E-4</v>
      </c>
      <c r="L94" s="80">
        <f t="shared" si="11"/>
        <v>351.12214748372367</v>
      </c>
      <c r="M94" s="83">
        <f t="shared" si="12"/>
        <v>2.5454582240156567</v>
      </c>
      <c r="N94" s="83">
        <f t="shared" si="13"/>
        <v>-3.0876020021010433</v>
      </c>
    </row>
    <row r="95" spans="1:14" ht="18.75" customHeight="1" x14ac:dyDescent="0.3">
      <c r="A95" s="53">
        <v>89</v>
      </c>
      <c r="B95" s="2">
        <v>36749</v>
      </c>
      <c r="C95" s="89" t="s">
        <v>42</v>
      </c>
      <c r="D95" s="8">
        <v>3065</v>
      </c>
      <c r="E95" s="10">
        <v>346</v>
      </c>
      <c r="F95" s="4">
        <v>0.18</v>
      </c>
      <c r="G95" s="3">
        <v>106</v>
      </c>
      <c r="H95" s="80">
        <f t="shared" si="7"/>
        <v>164.77542081984916</v>
      </c>
      <c r="I95" s="81">
        <f t="shared" si="8"/>
        <v>2.2168924294580457</v>
      </c>
      <c r="J95" s="80">
        <f t="shared" si="9"/>
        <v>-0.74472749489669399</v>
      </c>
      <c r="K95" s="82">
        <f t="shared" si="10"/>
        <v>5.786260713409755E-4</v>
      </c>
      <c r="L95" s="80">
        <f t="shared" si="11"/>
        <v>436.58798459943728</v>
      </c>
      <c r="M95" s="83">
        <f t="shared" si="12"/>
        <v>2.6400717792568416</v>
      </c>
      <c r="N95" s="83">
        <f t="shared" si="13"/>
        <v>-3.2376020021010437</v>
      </c>
    </row>
    <row r="96" spans="1:14" ht="18.75" customHeight="1" x14ac:dyDescent="0.3">
      <c r="A96" s="53">
        <v>90</v>
      </c>
      <c r="B96" s="2">
        <v>36749</v>
      </c>
      <c r="C96" s="89" t="s">
        <v>43</v>
      </c>
      <c r="D96" s="8">
        <v>3185</v>
      </c>
      <c r="E96" s="10">
        <v>346</v>
      </c>
      <c r="F96" s="4">
        <v>0.15</v>
      </c>
      <c r="G96" s="3">
        <v>106</v>
      </c>
      <c r="H96" s="80">
        <f t="shared" si="7"/>
        <v>171.22666078669479</v>
      </c>
      <c r="I96" s="81">
        <f t="shared" si="8"/>
        <v>2.2335713872749809</v>
      </c>
      <c r="J96" s="80">
        <f t="shared" si="9"/>
        <v>-0.82390874094431876</v>
      </c>
      <c r="K96" s="82">
        <f t="shared" si="10"/>
        <v>5.786260713409755E-4</v>
      </c>
      <c r="L96" s="80">
        <f t="shared" si="11"/>
        <v>453.68115202258002</v>
      </c>
      <c r="M96" s="83">
        <f t="shared" si="12"/>
        <v>2.6567507370737768</v>
      </c>
      <c r="N96" s="83">
        <f t="shared" si="13"/>
        <v>-3.2376020021010437</v>
      </c>
    </row>
    <row r="97" spans="1:14" ht="18.75" customHeight="1" x14ac:dyDescent="0.3">
      <c r="A97" s="53">
        <v>91</v>
      </c>
      <c r="B97" s="2">
        <v>36754</v>
      </c>
      <c r="C97" s="89" t="s">
        <v>36</v>
      </c>
      <c r="D97" s="8">
        <v>100</v>
      </c>
      <c r="E97" s="10">
        <v>346.5</v>
      </c>
      <c r="F97" s="4">
        <v>5.08</v>
      </c>
      <c r="G97" s="3">
        <v>137</v>
      </c>
      <c r="H97" s="80">
        <f t="shared" si="7"/>
        <v>5.3721530935025354</v>
      </c>
      <c r="I97" s="81">
        <f t="shared" si="8"/>
        <v>0.73014838052608722</v>
      </c>
      <c r="J97" s="80">
        <f t="shared" si="9"/>
        <v>0.70586371228391931</v>
      </c>
      <c r="K97" s="82">
        <f t="shared" si="10"/>
        <v>2.0530427747140007E-2</v>
      </c>
      <c r="L97" s="80">
        <f t="shared" si="11"/>
        <v>14.237451369597297</v>
      </c>
      <c r="M97" s="83">
        <f t="shared" si="12"/>
        <v>1.1534322536840582</v>
      </c>
      <c r="N97" s="83">
        <f t="shared" si="13"/>
        <v>-1.6876020021010438</v>
      </c>
    </row>
    <row r="98" spans="1:14" ht="18.75" customHeight="1" x14ac:dyDescent="0.3">
      <c r="A98" s="53">
        <v>92</v>
      </c>
      <c r="B98" s="2">
        <v>36754</v>
      </c>
      <c r="C98" s="89" t="s">
        <v>37</v>
      </c>
      <c r="D98" s="8">
        <v>317</v>
      </c>
      <c r="E98" s="10">
        <v>346.5</v>
      </c>
      <c r="F98" s="4">
        <v>3.04</v>
      </c>
      <c r="G98" s="3">
        <v>127</v>
      </c>
      <c r="H98" s="80">
        <f t="shared" si="7"/>
        <v>17.029725306403037</v>
      </c>
      <c r="I98" s="81">
        <f t="shared" si="8"/>
        <v>1.2312076427438388</v>
      </c>
      <c r="J98" s="80">
        <f t="shared" si="9"/>
        <v>0.48287358360875376</v>
      </c>
      <c r="K98" s="82">
        <f t="shared" si="10"/>
        <v>6.4922913018481826E-3</v>
      </c>
      <c r="L98" s="80">
        <f t="shared" si="11"/>
        <v>45.132720841623431</v>
      </c>
      <c r="M98" s="83">
        <f t="shared" si="12"/>
        <v>1.6544915159018097</v>
      </c>
      <c r="N98" s="83">
        <f t="shared" si="13"/>
        <v>-2.1876020021010443</v>
      </c>
    </row>
    <row r="99" spans="1:14" ht="18.75" customHeight="1" x14ac:dyDescent="0.3">
      <c r="A99" s="53">
        <v>93</v>
      </c>
      <c r="B99" s="2">
        <v>36754</v>
      </c>
      <c r="C99" s="89" t="s">
        <v>38</v>
      </c>
      <c r="D99" s="8">
        <v>556</v>
      </c>
      <c r="E99" s="10">
        <v>346.5</v>
      </c>
      <c r="F99" s="4">
        <v>1.8</v>
      </c>
      <c r="G99" s="3">
        <v>125</v>
      </c>
      <c r="H99" s="80">
        <f t="shared" si="7"/>
        <v>29.869171199874096</v>
      </c>
      <c r="I99" s="81">
        <f t="shared" si="8"/>
        <v>1.4752231721081446</v>
      </c>
      <c r="J99" s="80">
        <f t="shared" si="9"/>
        <v>0.25527250510330607</v>
      </c>
      <c r="K99" s="82">
        <f t="shared" si="10"/>
        <v>5.1570102891128795E-3</v>
      </c>
      <c r="L99" s="80">
        <f t="shared" si="11"/>
        <v>79.160229614960969</v>
      </c>
      <c r="M99" s="83">
        <f t="shared" si="12"/>
        <v>1.8985070452661157</v>
      </c>
      <c r="N99" s="83">
        <f t="shared" si="13"/>
        <v>-2.2876020021010435</v>
      </c>
    </row>
    <row r="100" spans="1:14" ht="18.75" customHeight="1" x14ac:dyDescent="0.3">
      <c r="A100" s="53">
        <v>94</v>
      </c>
      <c r="B100" s="2">
        <v>36754</v>
      </c>
      <c r="C100" s="89" t="s">
        <v>39</v>
      </c>
      <c r="D100" s="8">
        <v>1254</v>
      </c>
      <c r="E100" s="10">
        <v>346.5</v>
      </c>
      <c r="F100" s="4">
        <v>0.51</v>
      </c>
      <c r="G100" s="3">
        <v>121</v>
      </c>
      <c r="H100" s="80">
        <f t="shared" si="7"/>
        <v>67.366799792521789</v>
      </c>
      <c r="I100" s="81">
        <f t="shared" si="8"/>
        <v>1.8284459170207847</v>
      </c>
      <c r="J100" s="80">
        <f t="shared" si="9"/>
        <v>-0.29242982390206362</v>
      </c>
      <c r="K100" s="82">
        <f t="shared" si="10"/>
        <v>3.2538535174756961E-3</v>
      </c>
      <c r="L100" s="80">
        <f t="shared" si="11"/>
        <v>178.53764017475009</v>
      </c>
      <c r="M100" s="83">
        <f t="shared" si="12"/>
        <v>2.2517297901787559</v>
      </c>
      <c r="N100" s="83">
        <f t="shared" si="13"/>
        <v>-2.4876020021010437</v>
      </c>
    </row>
    <row r="101" spans="1:14" ht="18.75" customHeight="1" x14ac:dyDescent="0.3">
      <c r="A101" s="53">
        <v>95</v>
      </c>
      <c r="B101" s="2">
        <v>36754</v>
      </c>
      <c r="C101" s="89" t="s">
        <v>40</v>
      </c>
      <c r="D101" s="8">
        <v>1845</v>
      </c>
      <c r="E101" s="10">
        <v>346.5</v>
      </c>
      <c r="F101" s="4">
        <v>0.39</v>
      </c>
      <c r="G101" s="3">
        <v>119</v>
      </c>
      <c r="H101" s="80">
        <f t="shared" si="7"/>
        <v>99.116224575121777</v>
      </c>
      <c r="I101" s="81">
        <f t="shared" si="8"/>
        <v>1.9961447510211665</v>
      </c>
      <c r="J101" s="80">
        <f t="shared" si="9"/>
        <v>-0.40893539297350079</v>
      </c>
      <c r="K101" s="82">
        <f t="shared" si="10"/>
        <v>2.5846277205878667E-3</v>
      </c>
      <c r="L101" s="80">
        <f t="shared" si="11"/>
        <v>262.68097776907013</v>
      </c>
      <c r="M101" s="83">
        <f t="shared" si="12"/>
        <v>2.4194286241791372</v>
      </c>
      <c r="N101" s="83">
        <f t="shared" si="13"/>
        <v>-2.5876020021010433</v>
      </c>
    </row>
    <row r="102" spans="1:14" ht="18.75" customHeight="1" x14ac:dyDescent="0.3">
      <c r="A102" s="53">
        <v>96</v>
      </c>
      <c r="B102" s="2">
        <v>36754</v>
      </c>
      <c r="C102" s="89" t="s">
        <v>41</v>
      </c>
      <c r="D102" s="8">
        <v>2395</v>
      </c>
      <c r="E102" s="10">
        <v>346.5</v>
      </c>
      <c r="F102" s="4">
        <v>0.22</v>
      </c>
      <c r="G102" s="3">
        <v>112</v>
      </c>
      <c r="H102" s="80">
        <f t="shared" si="7"/>
        <v>128.66306658938572</v>
      </c>
      <c r="I102" s="81">
        <f t="shared" si="8"/>
        <v>2.1094538982766693</v>
      </c>
      <c r="J102" s="80">
        <f t="shared" si="9"/>
        <v>-0.65757731917779372</v>
      </c>
      <c r="K102" s="82">
        <f t="shared" si="10"/>
        <v>1.1545107946051418E-3</v>
      </c>
      <c r="L102" s="80">
        <f t="shared" si="11"/>
        <v>340.98696030185528</v>
      </c>
      <c r="M102" s="83">
        <f t="shared" si="12"/>
        <v>2.5327377714346402</v>
      </c>
      <c r="N102" s="83">
        <f t="shared" si="13"/>
        <v>-2.9376020021010438</v>
      </c>
    </row>
    <row r="103" spans="1:14" ht="18.75" customHeight="1" x14ac:dyDescent="0.3">
      <c r="A103" s="53">
        <v>97</v>
      </c>
      <c r="B103" s="2">
        <v>36754</v>
      </c>
      <c r="C103" s="89" t="s">
        <v>42</v>
      </c>
      <c r="D103" s="8">
        <v>3004</v>
      </c>
      <c r="E103" s="10">
        <v>346.5</v>
      </c>
      <c r="F103" s="4">
        <v>0.21</v>
      </c>
      <c r="G103" s="3">
        <v>109</v>
      </c>
      <c r="H103" s="80">
        <f t="shared" si="7"/>
        <v>161.37947892881616</v>
      </c>
      <c r="I103" s="81">
        <f t="shared" si="8"/>
        <v>2.2078483088582179</v>
      </c>
      <c r="J103" s="80">
        <f t="shared" si="9"/>
        <v>-0.6777807052660807</v>
      </c>
      <c r="K103" s="82">
        <f t="shared" si="10"/>
        <v>8.1733105006669257E-4</v>
      </c>
      <c r="L103" s="80">
        <f t="shared" si="11"/>
        <v>427.69303914270279</v>
      </c>
      <c r="M103" s="83">
        <f t="shared" si="12"/>
        <v>2.6311321820161888</v>
      </c>
      <c r="N103" s="83">
        <f t="shared" si="13"/>
        <v>-3.0876020021010433</v>
      </c>
    </row>
    <row r="104" spans="1:14" ht="18.75" customHeight="1" x14ac:dyDescent="0.3">
      <c r="A104" s="53">
        <v>98</v>
      </c>
      <c r="B104" s="2">
        <v>36754</v>
      </c>
      <c r="C104" s="89" t="s">
        <v>43</v>
      </c>
      <c r="D104" s="8">
        <v>3849</v>
      </c>
      <c r="E104" s="10">
        <v>346.5</v>
      </c>
      <c r="F104" s="4">
        <v>0.09</v>
      </c>
      <c r="G104" s="3">
        <v>106</v>
      </c>
      <c r="H104" s="80">
        <f t="shared" si="7"/>
        <v>206.77417256891258</v>
      </c>
      <c r="I104" s="81">
        <f t="shared" si="8"/>
        <v>2.3154962916206783</v>
      </c>
      <c r="J104" s="80">
        <f t="shared" si="9"/>
        <v>-1.0457574905606752</v>
      </c>
      <c r="K104" s="82">
        <f t="shared" si="10"/>
        <v>5.786260713409755E-4</v>
      </c>
      <c r="L104" s="80">
        <f t="shared" si="11"/>
        <v>547.99950321580002</v>
      </c>
      <c r="M104" s="83">
        <f t="shared" si="12"/>
        <v>2.7387801647786492</v>
      </c>
      <c r="N104" s="83">
        <f t="shared" si="13"/>
        <v>-3.2376020021010437</v>
      </c>
    </row>
    <row r="105" spans="1:14" ht="18.75" customHeight="1" x14ac:dyDescent="0.3">
      <c r="A105" s="53">
        <v>99</v>
      </c>
      <c r="B105" s="2">
        <v>37116</v>
      </c>
      <c r="C105" s="89" t="s">
        <v>15</v>
      </c>
      <c r="D105" s="8">
        <v>50</v>
      </c>
      <c r="E105" s="10">
        <v>392</v>
      </c>
      <c r="F105" s="4">
        <v>10.24</v>
      </c>
      <c r="G105" s="3">
        <v>138</v>
      </c>
      <c r="H105" s="80">
        <f t="shared" si="7"/>
        <v>2.5253813613805267</v>
      </c>
      <c r="I105" s="81">
        <f t="shared" si="8"/>
        <v>0.40232697082579016</v>
      </c>
      <c r="J105" s="80">
        <f t="shared" si="9"/>
        <v>1.0102999566398119</v>
      </c>
      <c r="K105" s="82">
        <f t="shared" si="10"/>
        <v>2.3035518807004197E-2</v>
      </c>
      <c r="L105" s="80">
        <f t="shared" si="11"/>
        <v>6.8318970813299611</v>
      </c>
      <c r="M105" s="83">
        <f t="shared" si="12"/>
        <v>0.83454131532919973</v>
      </c>
      <c r="N105" s="83">
        <f t="shared" si="13"/>
        <v>-1.6376020021010433</v>
      </c>
    </row>
    <row r="106" spans="1:14" ht="18.75" customHeight="1" x14ac:dyDescent="0.3">
      <c r="A106" s="53">
        <v>100</v>
      </c>
      <c r="B106" s="2">
        <v>37116</v>
      </c>
      <c r="C106" s="89" t="s">
        <v>22</v>
      </c>
      <c r="D106" s="8">
        <v>317</v>
      </c>
      <c r="E106" s="10">
        <v>392</v>
      </c>
      <c r="F106" s="4">
        <v>1.1299999999999999</v>
      </c>
      <c r="G106" s="3">
        <v>128</v>
      </c>
      <c r="H106" s="80">
        <f t="shared" si="7"/>
        <v>16.01091783115254</v>
      </c>
      <c r="I106" s="81">
        <f t="shared" si="8"/>
        <v>1.2044162287075229</v>
      </c>
      <c r="J106" s="80">
        <f t="shared" si="9"/>
        <v>5.3078443483419682E-2</v>
      </c>
      <c r="K106" s="82">
        <f t="shared" si="10"/>
        <v>7.2844706513778019E-3</v>
      </c>
      <c r="L106" s="80">
        <f t="shared" si="11"/>
        <v>43.314227495631954</v>
      </c>
      <c r="M106" s="83">
        <f t="shared" si="12"/>
        <v>1.6366305732109325</v>
      </c>
      <c r="N106" s="83">
        <f t="shared" si="13"/>
        <v>-2.1376020021010427</v>
      </c>
    </row>
    <row r="107" spans="1:14" ht="18.75" customHeight="1" x14ac:dyDescent="0.3">
      <c r="A107" s="53">
        <v>101</v>
      </c>
      <c r="B107" s="2">
        <v>37116</v>
      </c>
      <c r="C107" s="89" t="s">
        <v>17</v>
      </c>
      <c r="D107" s="8">
        <v>686</v>
      </c>
      <c r="E107" s="10">
        <v>392</v>
      </c>
      <c r="F107" s="4">
        <v>0.48</v>
      </c>
      <c r="G107" s="3">
        <v>118</v>
      </c>
      <c r="H107" s="80">
        <f t="shared" si="7"/>
        <v>34.648232278140831</v>
      </c>
      <c r="I107" s="81">
        <f t="shared" si="8"/>
        <v>1.539681082196523</v>
      </c>
      <c r="J107" s="80">
        <f t="shared" si="9"/>
        <v>-0.31875876262441277</v>
      </c>
      <c r="K107" s="82">
        <f t="shared" si="10"/>
        <v>2.3035518807004215E-3</v>
      </c>
      <c r="L107" s="80">
        <f t="shared" si="11"/>
        <v>93.733627955847069</v>
      </c>
      <c r="M107" s="83">
        <f t="shared" si="12"/>
        <v>1.9718954266999327</v>
      </c>
      <c r="N107" s="83">
        <f t="shared" si="13"/>
        <v>-2.6376020021010431</v>
      </c>
    </row>
    <row r="108" spans="1:14" ht="18.75" customHeight="1" x14ac:dyDescent="0.3">
      <c r="A108" s="53">
        <v>102</v>
      </c>
      <c r="B108" s="2">
        <v>37116</v>
      </c>
      <c r="C108" s="89" t="s">
        <v>18</v>
      </c>
      <c r="D108" s="8">
        <v>1214</v>
      </c>
      <c r="E108" s="10">
        <v>392</v>
      </c>
      <c r="F108" s="4">
        <v>0.44</v>
      </c>
      <c r="G108" s="3">
        <v>118</v>
      </c>
      <c r="H108" s="80">
        <f t="shared" si="7"/>
        <v>61.316259454319194</v>
      </c>
      <c r="I108" s="81">
        <f t="shared" si="8"/>
        <v>1.7875756532290101</v>
      </c>
      <c r="J108" s="80">
        <f t="shared" si="9"/>
        <v>-0.35654732351381258</v>
      </c>
      <c r="K108" s="82">
        <f t="shared" si="10"/>
        <v>2.3035518807004215E-3</v>
      </c>
      <c r="L108" s="80">
        <f t="shared" si="11"/>
        <v>165.87846113469146</v>
      </c>
      <c r="M108" s="83">
        <f t="shared" si="12"/>
        <v>2.2197899977324198</v>
      </c>
      <c r="N108" s="83">
        <f t="shared" si="13"/>
        <v>-2.6376020021010431</v>
      </c>
    </row>
    <row r="109" spans="1:14" ht="18.75" customHeight="1" x14ac:dyDescent="0.3">
      <c r="A109" s="53">
        <v>103</v>
      </c>
      <c r="B109" s="2">
        <v>37116</v>
      </c>
      <c r="C109" s="89" t="s">
        <v>23</v>
      </c>
      <c r="D109" s="8">
        <v>1795</v>
      </c>
      <c r="E109" s="10">
        <v>392</v>
      </c>
      <c r="F109" s="4">
        <v>0.18</v>
      </c>
      <c r="G109" s="3">
        <v>118</v>
      </c>
      <c r="H109" s="80">
        <f t="shared" si="7"/>
        <v>90.661190873560912</v>
      </c>
      <c r="I109" s="81">
        <f t="shared" si="8"/>
        <v>1.9574214194041093</v>
      </c>
      <c r="J109" s="80">
        <f t="shared" si="9"/>
        <v>-0.74472749489669399</v>
      </c>
      <c r="K109" s="82">
        <f t="shared" si="10"/>
        <v>2.3035518807004215E-3</v>
      </c>
      <c r="L109" s="80">
        <f t="shared" si="11"/>
        <v>245.26510521974561</v>
      </c>
      <c r="M109" s="83">
        <f t="shared" si="12"/>
        <v>2.3896357639075188</v>
      </c>
      <c r="N109" s="83">
        <f t="shared" si="13"/>
        <v>-2.6376020021010431</v>
      </c>
    </row>
    <row r="110" spans="1:14" ht="18.75" customHeight="1" x14ac:dyDescent="0.3">
      <c r="A110" s="53">
        <v>104</v>
      </c>
      <c r="B110" s="2">
        <v>37116</v>
      </c>
      <c r="C110" s="89" t="s">
        <v>20</v>
      </c>
      <c r="D110" s="8">
        <v>1848</v>
      </c>
      <c r="E110" s="10">
        <v>392</v>
      </c>
      <c r="F110" s="4">
        <v>0.31</v>
      </c>
      <c r="G110" s="3">
        <v>109</v>
      </c>
      <c r="H110" s="80">
        <f t="shared" si="7"/>
        <v>93.338095116624274</v>
      </c>
      <c r="I110" s="81">
        <f t="shared" si="8"/>
        <v>1.9700589333738592</v>
      </c>
      <c r="J110" s="80">
        <f t="shared" si="9"/>
        <v>-0.50863830616572736</v>
      </c>
      <c r="K110" s="82">
        <f t="shared" si="10"/>
        <v>8.1733105006669257E-4</v>
      </c>
      <c r="L110" s="80">
        <f t="shared" si="11"/>
        <v>252.50691612595537</v>
      </c>
      <c r="M110" s="83">
        <f t="shared" si="12"/>
        <v>2.4022732778772689</v>
      </c>
      <c r="N110" s="83">
        <f t="shared" si="13"/>
        <v>-3.0876020021010433</v>
      </c>
    </row>
    <row r="111" spans="1:14" ht="18.75" customHeight="1" x14ac:dyDescent="0.3">
      <c r="A111" s="53">
        <v>105</v>
      </c>
      <c r="B111" s="2">
        <v>37116</v>
      </c>
      <c r="C111" s="89" t="s">
        <v>21</v>
      </c>
      <c r="D111" s="8">
        <v>2270</v>
      </c>
      <c r="E111" s="10">
        <v>392</v>
      </c>
      <c r="F111" s="4">
        <v>0.11</v>
      </c>
      <c r="G111" s="3">
        <v>106</v>
      </c>
      <c r="H111" s="80">
        <f t="shared" si="7"/>
        <v>114.65231380667592</v>
      </c>
      <c r="I111" s="81">
        <f t="shared" si="8"/>
        <v>2.0593828236828942</v>
      </c>
      <c r="J111" s="80">
        <f t="shared" si="9"/>
        <v>-0.95860731484177497</v>
      </c>
      <c r="K111" s="82">
        <f t="shared" si="10"/>
        <v>5.786260713409755E-4</v>
      </c>
      <c r="L111" s="80">
        <f t="shared" si="11"/>
        <v>310.16812749238022</v>
      </c>
      <c r="M111" s="83">
        <f t="shared" si="12"/>
        <v>2.4915971681863036</v>
      </c>
      <c r="N111" s="83">
        <f t="shared" si="13"/>
        <v>-3.2376020021010437</v>
      </c>
    </row>
    <row r="112" spans="1:14" ht="18.75" customHeight="1" x14ac:dyDescent="0.3">
      <c r="A112" s="53">
        <v>106</v>
      </c>
      <c r="B112" s="2">
        <v>37116</v>
      </c>
      <c r="C112" s="89" t="s">
        <v>37</v>
      </c>
      <c r="D112" s="8">
        <v>1267</v>
      </c>
      <c r="E112" s="10">
        <v>392</v>
      </c>
      <c r="F112" s="4">
        <v>0.13</v>
      </c>
      <c r="G112" s="3">
        <v>123</v>
      </c>
      <c r="H112" s="80">
        <f t="shared" si="7"/>
        <v>63.993163697382549</v>
      </c>
      <c r="I112" s="81">
        <f t="shared" si="8"/>
        <v>1.8061335813732127</v>
      </c>
      <c r="J112" s="80">
        <f t="shared" si="9"/>
        <v>-0.88605664769316317</v>
      </c>
      <c r="K112" s="82">
        <f t="shared" si="10"/>
        <v>4.0963588794059938E-3</v>
      </c>
      <c r="L112" s="80">
        <f t="shared" si="11"/>
        <v>173.12027204090123</v>
      </c>
      <c r="M112" s="83">
        <f t="shared" si="12"/>
        <v>2.2383479258766221</v>
      </c>
      <c r="N112" s="83">
        <f t="shared" si="13"/>
        <v>-2.3876020021010431</v>
      </c>
    </row>
    <row r="113" spans="1:14" ht="18.75" customHeight="1" x14ac:dyDescent="0.3">
      <c r="A113" s="53">
        <v>107</v>
      </c>
      <c r="B113" s="2">
        <v>37116</v>
      </c>
      <c r="C113" s="89" t="s">
        <v>38</v>
      </c>
      <c r="D113" s="8">
        <v>1320</v>
      </c>
      <c r="E113" s="10">
        <v>392</v>
      </c>
      <c r="F113" s="4">
        <v>0.32</v>
      </c>
      <c r="G113" s="3">
        <v>120</v>
      </c>
      <c r="H113" s="80">
        <f t="shared" si="7"/>
        <v>66.670067940445904</v>
      </c>
      <c r="I113" s="81">
        <f t="shared" si="8"/>
        <v>1.8239308976956212</v>
      </c>
      <c r="J113" s="80">
        <f t="shared" si="9"/>
        <v>-0.49485002168009401</v>
      </c>
      <c r="K113" s="82">
        <f t="shared" si="10"/>
        <v>2.8999999999999998E-3</v>
      </c>
      <c r="L113" s="80">
        <f t="shared" si="11"/>
        <v>180.36208294711099</v>
      </c>
      <c r="M113" s="83">
        <f t="shared" si="12"/>
        <v>2.2561452421990307</v>
      </c>
      <c r="N113" s="83">
        <f t="shared" si="13"/>
        <v>-2.5376020021010439</v>
      </c>
    </row>
    <row r="114" spans="1:14" ht="18.75" customHeight="1" x14ac:dyDescent="0.3">
      <c r="A114" s="53">
        <v>108</v>
      </c>
      <c r="B114" s="2">
        <v>37116</v>
      </c>
      <c r="C114" s="89" t="s">
        <v>39</v>
      </c>
      <c r="D114" s="8">
        <v>1540</v>
      </c>
      <c r="E114" s="10">
        <v>392</v>
      </c>
      <c r="F114" s="4">
        <v>0.12</v>
      </c>
      <c r="G114" s="3">
        <v>119</v>
      </c>
      <c r="H114" s="80">
        <f t="shared" si="7"/>
        <v>77.781745930520231</v>
      </c>
      <c r="I114" s="81">
        <f t="shared" si="8"/>
        <v>1.8908776873262345</v>
      </c>
      <c r="J114" s="80">
        <f t="shared" si="9"/>
        <v>-0.92081875395237522</v>
      </c>
      <c r="K114" s="82">
        <f t="shared" si="10"/>
        <v>2.5846277205878667E-3</v>
      </c>
      <c r="L114" s="80">
        <f t="shared" si="11"/>
        <v>210.42243010496281</v>
      </c>
      <c r="M114" s="83">
        <f t="shared" si="12"/>
        <v>2.3230920318296442</v>
      </c>
      <c r="N114" s="83">
        <f t="shared" si="13"/>
        <v>-2.5876020021010433</v>
      </c>
    </row>
    <row r="115" spans="1:14" ht="18.75" customHeight="1" x14ac:dyDescent="0.3">
      <c r="A115" s="53">
        <v>109</v>
      </c>
      <c r="B115" s="2">
        <v>37116</v>
      </c>
      <c r="C115" s="89" t="s">
        <v>40</v>
      </c>
      <c r="D115" s="8">
        <v>1637</v>
      </c>
      <c r="E115" s="10">
        <v>392</v>
      </c>
      <c r="F115" s="4">
        <v>0.27</v>
      </c>
      <c r="G115" s="3">
        <v>117</v>
      </c>
      <c r="H115" s="80">
        <f t="shared" si="7"/>
        <v>82.680985771598444</v>
      </c>
      <c r="I115" s="81">
        <f t="shared" si="8"/>
        <v>1.9174056459017128</v>
      </c>
      <c r="J115" s="80">
        <f t="shared" si="9"/>
        <v>-0.56863623584101264</v>
      </c>
      <c r="K115" s="82">
        <f t="shared" si="10"/>
        <v>2.0530427747140019E-3</v>
      </c>
      <c r="L115" s="80">
        <f t="shared" si="11"/>
        <v>223.67631044274293</v>
      </c>
      <c r="M115" s="83">
        <f t="shared" si="12"/>
        <v>2.3496199904051225</v>
      </c>
      <c r="N115" s="83">
        <f t="shared" si="13"/>
        <v>-2.6876020021010434</v>
      </c>
    </row>
    <row r="116" spans="1:14" ht="18.75" customHeight="1" x14ac:dyDescent="0.3">
      <c r="A116" s="53">
        <v>110</v>
      </c>
      <c r="B116" s="2">
        <v>37116</v>
      </c>
      <c r="C116" s="89" t="s">
        <v>41</v>
      </c>
      <c r="D116" s="8">
        <v>1848</v>
      </c>
      <c r="E116" s="10">
        <v>392</v>
      </c>
      <c r="F116" s="4">
        <v>0.08</v>
      </c>
      <c r="G116" s="3">
        <v>114</v>
      </c>
      <c r="H116" s="80">
        <f t="shared" si="7"/>
        <v>93.338095116624274</v>
      </c>
      <c r="I116" s="81">
        <f t="shared" si="8"/>
        <v>1.9700589333738592</v>
      </c>
      <c r="J116" s="80">
        <f t="shared" si="9"/>
        <v>-1.0969100130080565</v>
      </c>
      <c r="K116" s="82">
        <f t="shared" si="10"/>
        <v>1.4534429775190931E-3</v>
      </c>
      <c r="L116" s="80">
        <f t="shared" si="11"/>
        <v>252.50691612595537</v>
      </c>
      <c r="M116" s="83">
        <f t="shared" si="12"/>
        <v>2.4022732778772689</v>
      </c>
      <c r="N116" s="83">
        <f t="shared" si="13"/>
        <v>-2.8376020021010429</v>
      </c>
    </row>
    <row r="117" spans="1:14" ht="18.75" customHeight="1" x14ac:dyDescent="0.3">
      <c r="A117" s="53">
        <v>111</v>
      </c>
      <c r="B117" s="2">
        <v>36756</v>
      </c>
      <c r="C117" s="89" t="s">
        <v>8</v>
      </c>
      <c r="D117" s="8">
        <v>109</v>
      </c>
      <c r="E117" s="10">
        <v>427.5</v>
      </c>
      <c r="F117" s="4">
        <v>3.2</v>
      </c>
      <c r="G117" s="3">
        <v>137</v>
      </c>
      <c r="H117" s="80">
        <f t="shared" si="7"/>
        <v>5.2717940841327513</v>
      </c>
      <c r="I117" s="81">
        <f t="shared" si="8"/>
        <v>0.72195843840852791</v>
      </c>
      <c r="J117" s="80">
        <f t="shared" si="9"/>
        <v>0.50514997831990605</v>
      </c>
      <c r="K117" s="82">
        <f t="shared" si="10"/>
        <v>2.0530427747140007E-2</v>
      </c>
      <c r="L117" s="80">
        <f t="shared" si="11"/>
        <v>14.469309008307448</v>
      </c>
      <c r="M117" s="83">
        <f t="shared" si="12"/>
        <v>1.1604477915858933</v>
      </c>
      <c r="N117" s="83">
        <f t="shared" si="13"/>
        <v>-1.6876020021010438</v>
      </c>
    </row>
    <row r="118" spans="1:14" ht="18.75" customHeight="1" x14ac:dyDescent="0.3">
      <c r="A118" s="53">
        <v>112</v>
      </c>
      <c r="B118" s="2">
        <v>36756</v>
      </c>
      <c r="C118" s="89" t="s">
        <v>9</v>
      </c>
      <c r="D118" s="8">
        <v>306</v>
      </c>
      <c r="E118" s="10">
        <v>427.5</v>
      </c>
      <c r="F118" s="4">
        <v>1.96</v>
      </c>
      <c r="G118" s="3">
        <v>130</v>
      </c>
      <c r="H118" s="80">
        <f t="shared" si="7"/>
        <v>14.799715502244238</v>
      </c>
      <c r="I118" s="81">
        <f t="shared" si="8"/>
        <v>1.1702533669494843</v>
      </c>
      <c r="J118" s="80">
        <f t="shared" si="9"/>
        <v>0.29225607135647602</v>
      </c>
      <c r="K118" s="82">
        <f t="shared" si="10"/>
        <v>9.1706052144883161E-3</v>
      </c>
      <c r="L118" s="80">
        <f t="shared" si="11"/>
        <v>40.620261986624577</v>
      </c>
      <c r="M118" s="83">
        <f t="shared" si="12"/>
        <v>1.6087427201268496</v>
      </c>
      <c r="N118" s="83">
        <f t="shared" si="13"/>
        <v>-2.037602002101043</v>
      </c>
    </row>
    <row r="119" spans="1:14" ht="18.75" customHeight="1" x14ac:dyDescent="0.3">
      <c r="A119" s="53">
        <v>113</v>
      </c>
      <c r="B119" s="2">
        <v>36756</v>
      </c>
      <c r="C119" s="89" t="s">
        <v>10</v>
      </c>
      <c r="D119" s="8">
        <v>623</v>
      </c>
      <c r="E119" s="10">
        <v>427.5</v>
      </c>
      <c r="F119" s="4">
        <v>1.07</v>
      </c>
      <c r="G119" s="3">
        <v>127</v>
      </c>
      <c r="H119" s="80">
        <f t="shared" si="7"/>
        <v>30.131446921235817</v>
      </c>
      <c r="I119" s="81">
        <f t="shared" si="8"/>
        <v>1.4790199871270739</v>
      </c>
      <c r="J119" s="80">
        <f t="shared" si="9"/>
        <v>2.9383777685209667E-2</v>
      </c>
      <c r="K119" s="82">
        <f t="shared" si="10"/>
        <v>6.4922913018481826E-3</v>
      </c>
      <c r="L119" s="80">
        <f t="shared" si="11"/>
        <v>82.700729469500374</v>
      </c>
      <c r="M119" s="83">
        <f t="shared" si="12"/>
        <v>1.9175093403044394</v>
      </c>
      <c r="N119" s="83">
        <f t="shared" si="13"/>
        <v>-2.1876020021010443</v>
      </c>
    </row>
    <row r="120" spans="1:14" ht="18.75" customHeight="1" x14ac:dyDescent="0.3">
      <c r="A120" s="53">
        <v>114</v>
      </c>
      <c r="B120" s="2">
        <v>36756</v>
      </c>
      <c r="C120" s="89" t="s">
        <v>11</v>
      </c>
      <c r="D120" s="8">
        <v>1082</v>
      </c>
      <c r="E120" s="10">
        <v>427.5</v>
      </c>
      <c r="F120" s="4">
        <v>0.41</v>
      </c>
      <c r="G120" s="3">
        <v>123</v>
      </c>
      <c r="H120" s="80">
        <f t="shared" si="7"/>
        <v>52.331020174602173</v>
      </c>
      <c r="I120" s="81">
        <f t="shared" si="8"/>
        <v>1.7187592012384549</v>
      </c>
      <c r="J120" s="80">
        <f t="shared" si="9"/>
        <v>-0.38721614328026455</v>
      </c>
      <c r="K120" s="82">
        <f t="shared" si="10"/>
        <v>4.0963588794059938E-3</v>
      </c>
      <c r="L120" s="80">
        <f t="shared" si="11"/>
        <v>143.63112244943724</v>
      </c>
      <c r="M120" s="83">
        <f t="shared" si="12"/>
        <v>2.1572485544158204</v>
      </c>
      <c r="N120" s="83">
        <f t="shared" si="13"/>
        <v>-2.3876020021010431</v>
      </c>
    </row>
    <row r="121" spans="1:14" ht="18.75" customHeight="1" x14ac:dyDescent="0.3">
      <c r="A121" s="53">
        <v>115</v>
      </c>
      <c r="B121" s="2">
        <v>36756</v>
      </c>
      <c r="C121" s="89" t="s">
        <v>12</v>
      </c>
      <c r="D121" s="8">
        <v>1340</v>
      </c>
      <c r="E121" s="10">
        <v>427.5</v>
      </c>
      <c r="F121" s="4">
        <v>1.1200000000000001</v>
      </c>
      <c r="G121" s="3">
        <v>119</v>
      </c>
      <c r="H121" s="80">
        <f t="shared" si="7"/>
        <v>64.809211676494371</v>
      </c>
      <c r="I121" s="81">
        <f t="shared" si="8"/>
        <v>1.8116367388327119</v>
      </c>
      <c r="J121" s="80">
        <f t="shared" si="9"/>
        <v>4.9218022670181653E-2</v>
      </c>
      <c r="K121" s="82">
        <f t="shared" si="10"/>
        <v>2.5846277205878667E-3</v>
      </c>
      <c r="L121" s="80">
        <f t="shared" si="11"/>
        <v>177.87957863423836</v>
      </c>
      <c r="M121" s="83">
        <f t="shared" si="12"/>
        <v>2.2501260920100772</v>
      </c>
      <c r="N121" s="83">
        <f t="shared" si="13"/>
        <v>-2.5876020021010433</v>
      </c>
    </row>
    <row r="122" spans="1:14" ht="18.75" customHeight="1" x14ac:dyDescent="0.3">
      <c r="A122" s="53">
        <v>116</v>
      </c>
      <c r="B122" s="2">
        <v>36756</v>
      </c>
      <c r="C122" s="89" t="s">
        <v>44</v>
      </c>
      <c r="D122" s="8">
        <v>3716</v>
      </c>
      <c r="E122" s="10">
        <v>427.5</v>
      </c>
      <c r="F122" s="4">
        <v>0.06</v>
      </c>
      <c r="G122" s="3">
        <v>106</v>
      </c>
      <c r="H122" s="80">
        <f t="shared" si="7"/>
        <v>179.72464969392024</v>
      </c>
      <c r="I122" s="81">
        <f t="shared" si="8"/>
        <v>2.2546076457895086</v>
      </c>
      <c r="J122" s="80">
        <f t="shared" si="9"/>
        <v>-1.2218487496163564</v>
      </c>
      <c r="K122" s="82">
        <f t="shared" si="10"/>
        <v>5.786260713409755E-4</v>
      </c>
      <c r="L122" s="80">
        <f t="shared" si="11"/>
        <v>493.28396582449977</v>
      </c>
      <c r="M122" s="83">
        <f t="shared" si="12"/>
        <v>2.6930969989668738</v>
      </c>
      <c r="N122" s="83">
        <f t="shared" si="13"/>
        <v>-3.2376020021010437</v>
      </c>
    </row>
    <row r="123" spans="1:14" ht="18.75" customHeight="1" x14ac:dyDescent="0.3">
      <c r="A123" s="53">
        <v>117</v>
      </c>
      <c r="B123" s="2">
        <v>36760</v>
      </c>
      <c r="C123" s="89" t="s">
        <v>8</v>
      </c>
      <c r="D123" s="8">
        <v>90</v>
      </c>
      <c r="E123" s="10">
        <v>293.5</v>
      </c>
      <c r="F123" s="4">
        <v>2.96</v>
      </c>
      <c r="G123" s="3">
        <v>138</v>
      </c>
      <c r="H123" s="80">
        <f t="shared" si="7"/>
        <v>5.2533756487600112</v>
      </c>
      <c r="I123" s="81">
        <f t="shared" si="8"/>
        <v>0.72043845664750827</v>
      </c>
      <c r="J123" s="80">
        <f t="shared" si="9"/>
        <v>0.47129171105893858</v>
      </c>
      <c r="K123" s="82">
        <f t="shared" si="10"/>
        <v>2.3035518807004197E-2</v>
      </c>
      <c r="L123" s="80">
        <f t="shared" si="11"/>
        <v>13.542737926087407</v>
      </c>
      <c r="M123" s="83">
        <f t="shared" si="12"/>
        <v>1.1317064742447804</v>
      </c>
      <c r="N123" s="83">
        <f t="shared" si="13"/>
        <v>-1.6376020021010433</v>
      </c>
    </row>
    <row r="124" spans="1:14" ht="18.75" customHeight="1" x14ac:dyDescent="0.3">
      <c r="A124" s="53">
        <v>118</v>
      </c>
      <c r="B124" s="2">
        <v>36760</v>
      </c>
      <c r="C124" s="89" t="s">
        <v>9</v>
      </c>
      <c r="D124" s="8">
        <v>183</v>
      </c>
      <c r="E124" s="10">
        <v>293.5</v>
      </c>
      <c r="F124" s="4">
        <v>2.64</v>
      </c>
      <c r="G124" s="3">
        <v>134</v>
      </c>
      <c r="H124" s="80">
        <f t="shared" si="7"/>
        <v>10.681863819145356</v>
      </c>
      <c r="I124" s="81">
        <f t="shared" si="8"/>
        <v>1.0286470369386129</v>
      </c>
      <c r="J124" s="80">
        <f t="shared" si="9"/>
        <v>0.42160392686983106</v>
      </c>
      <c r="K124" s="82">
        <f t="shared" si="10"/>
        <v>1.453442977519092E-2</v>
      </c>
      <c r="L124" s="80">
        <f t="shared" si="11"/>
        <v>27.536900449711059</v>
      </c>
      <c r="M124" s="83">
        <f t="shared" si="12"/>
        <v>1.439915054535885</v>
      </c>
      <c r="N124" s="83">
        <f t="shared" si="13"/>
        <v>-1.8376020021010433</v>
      </c>
    </row>
    <row r="125" spans="1:14" ht="18.75" customHeight="1" x14ac:dyDescent="0.3">
      <c r="A125" s="53">
        <v>119</v>
      </c>
      <c r="B125" s="2">
        <v>36760</v>
      </c>
      <c r="C125" s="89" t="s">
        <v>10</v>
      </c>
      <c r="D125" s="8">
        <v>422</v>
      </c>
      <c r="E125" s="10">
        <v>293.5</v>
      </c>
      <c r="F125" s="4">
        <v>1.1599999999999999</v>
      </c>
      <c r="G125" s="3">
        <v>126</v>
      </c>
      <c r="H125" s="80">
        <f t="shared" si="7"/>
        <v>24.632494708630272</v>
      </c>
      <c r="I125" s="81">
        <f t="shared" si="8"/>
        <v>1.3915083981698573</v>
      </c>
      <c r="J125" s="80">
        <f t="shared" si="9"/>
        <v>6.445798922691845E-2</v>
      </c>
      <c r="K125" s="82">
        <f t="shared" si="10"/>
        <v>5.7862607134097519E-3</v>
      </c>
      <c r="L125" s="80">
        <f t="shared" si="11"/>
        <v>63.500393386765396</v>
      </c>
      <c r="M125" s="83">
        <f t="shared" si="12"/>
        <v>1.8027764157671295</v>
      </c>
      <c r="N125" s="83">
        <f t="shared" si="13"/>
        <v>-2.2376020021010437</v>
      </c>
    </row>
    <row r="126" spans="1:14" ht="18.75" customHeight="1" x14ac:dyDescent="0.3">
      <c r="A126" s="53">
        <v>120</v>
      </c>
      <c r="B126" s="2">
        <v>36760</v>
      </c>
      <c r="C126" s="89" t="s">
        <v>11</v>
      </c>
      <c r="D126" s="8">
        <v>842</v>
      </c>
      <c r="E126" s="10">
        <v>293.5</v>
      </c>
      <c r="F126" s="4">
        <v>0.51</v>
      </c>
      <c r="G126" s="3">
        <v>117</v>
      </c>
      <c r="H126" s="80">
        <f t="shared" si="7"/>
        <v>49.148247736176991</v>
      </c>
      <c r="I126" s="81">
        <f t="shared" si="8"/>
        <v>1.691508038707833</v>
      </c>
      <c r="J126" s="80">
        <f t="shared" si="9"/>
        <v>-0.29242982390206362</v>
      </c>
      <c r="K126" s="82">
        <f t="shared" si="10"/>
        <v>2.0530427747140019E-3</v>
      </c>
      <c r="L126" s="80">
        <f t="shared" si="11"/>
        <v>126.69983704183996</v>
      </c>
      <c r="M126" s="83">
        <f t="shared" si="12"/>
        <v>2.102776056305105</v>
      </c>
      <c r="N126" s="83">
        <f t="shared" si="13"/>
        <v>-2.6876020021010434</v>
      </c>
    </row>
    <row r="127" spans="1:14" ht="18.75" customHeight="1" x14ac:dyDescent="0.3">
      <c r="A127" s="53">
        <v>121</v>
      </c>
      <c r="B127" s="2">
        <v>36760</v>
      </c>
      <c r="C127" s="89" t="s">
        <v>12</v>
      </c>
      <c r="D127" s="8">
        <v>1162</v>
      </c>
      <c r="E127" s="10">
        <v>293.5</v>
      </c>
      <c r="F127" s="4">
        <v>0.6</v>
      </c>
      <c r="G127" s="3">
        <v>116</v>
      </c>
      <c r="H127" s="80">
        <f t="shared" si="7"/>
        <v>67.826916709545912</v>
      </c>
      <c r="I127" s="81">
        <f t="shared" si="8"/>
        <v>1.8314020752624953</v>
      </c>
      <c r="J127" s="80">
        <f t="shared" si="9"/>
        <v>-0.22184874961635639</v>
      </c>
      <c r="K127" s="82">
        <f t="shared" si="10"/>
        <v>1.8297762989925629E-3</v>
      </c>
      <c r="L127" s="80">
        <f t="shared" si="11"/>
        <v>174.85179411237297</v>
      </c>
      <c r="M127" s="83">
        <f t="shared" si="12"/>
        <v>2.2426700928597674</v>
      </c>
      <c r="N127" s="83">
        <f t="shared" si="13"/>
        <v>-2.7376020021010432</v>
      </c>
    </row>
    <row r="128" spans="1:14" ht="18.75" customHeight="1" x14ac:dyDescent="0.3">
      <c r="A128" s="53">
        <v>122</v>
      </c>
      <c r="B128" s="2">
        <v>36760</v>
      </c>
      <c r="C128" s="89" t="s">
        <v>14</v>
      </c>
      <c r="D128" s="8">
        <v>3221</v>
      </c>
      <c r="E128" s="10">
        <v>293.5</v>
      </c>
      <c r="F128" s="4">
        <v>0.03</v>
      </c>
      <c r="G128" s="3">
        <v>106</v>
      </c>
      <c r="H128" s="80">
        <f t="shared" si="7"/>
        <v>188.0124773850666</v>
      </c>
      <c r="I128" s="81">
        <f t="shared" si="8"/>
        <v>2.2741866720278745</v>
      </c>
      <c r="J128" s="80">
        <f t="shared" si="9"/>
        <v>-1.5228787452803376</v>
      </c>
      <c r="K128" s="82">
        <f t="shared" si="10"/>
        <v>5.786260713409755E-4</v>
      </c>
      <c r="L128" s="80">
        <f t="shared" si="11"/>
        <v>484.67954288808374</v>
      </c>
      <c r="M128" s="83">
        <f t="shared" si="12"/>
        <v>2.6854546896251472</v>
      </c>
      <c r="N128" s="83">
        <f t="shared" si="13"/>
        <v>-3.2376020021010437</v>
      </c>
    </row>
    <row r="129" spans="1:14" ht="18.75" customHeight="1" x14ac:dyDescent="0.3">
      <c r="A129" s="53">
        <v>123</v>
      </c>
      <c r="B129" s="2">
        <v>36760</v>
      </c>
      <c r="C129" s="89" t="s">
        <v>36</v>
      </c>
      <c r="D129" s="8">
        <v>100</v>
      </c>
      <c r="E129" s="10">
        <v>334</v>
      </c>
      <c r="F129" s="4">
        <v>4.88</v>
      </c>
      <c r="G129" s="3">
        <v>140</v>
      </c>
      <c r="H129" s="80">
        <f t="shared" si="7"/>
        <v>5.4717565516458277</v>
      </c>
      <c r="I129" s="81">
        <f t="shared" si="8"/>
        <v>0.73812676659421772</v>
      </c>
      <c r="J129" s="80">
        <f t="shared" si="9"/>
        <v>0.68841982200271057</v>
      </c>
      <c r="K129" s="82">
        <f t="shared" si="10"/>
        <v>2.8999999999999998E-2</v>
      </c>
      <c r="L129" s="80">
        <f t="shared" si="11"/>
        <v>14.412893506025844</v>
      </c>
      <c r="M129" s="83">
        <f t="shared" si="12"/>
        <v>1.1587511777294786</v>
      </c>
      <c r="N129" s="83">
        <f t="shared" si="13"/>
        <v>-1.5376020021010439</v>
      </c>
    </row>
    <row r="130" spans="1:14" ht="18.75" customHeight="1" x14ac:dyDescent="0.3">
      <c r="A130" s="53">
        <v>124</v>
      </c>
      <c r="B130" s="2">
        <v>36760</v>
      </c>
      <c r="C130" s="89" t="s">
        <v>37</v>
      </c>
      <c r="D130" s="8">
        <v>262</v>
      </c>
      <c r="E130" s="10">
        <v>334</v>
      </c>
      <c r="F130" s="4">
        <v>2.36</v>
      </c>
      <c r="G130" s="3">
        <v>130</v>
      </c>
      <c r="H130" s="80">
        <f t="shared" si="7"/>
        <v>14.336002165312069</v>
      </c>
      <c r="I130" s="81">
        <f t="shared" si="8"/>
        <v>1.1564280579139632</v>
      </c>
      <c r="J130" s="80">
        <f t="shared" si="9"/>
        <v>0.37291200297010657</v>
      </c>
      <c r="K130" s="82">
        <f t="shared" si="10"/>
        <v>9.1706052144883161E-3</v>
      </c>
      <c r="L130" s="80">
        <f t="shared" si="11"/>
        <v>37.761780985787709</v>
      </c>
      <c r="M130" s="83">
        <f t="shared" si="12"/>
        <v>1.5770524690492238</v>
      </c>
      <c r="N130" s="83">
        <f t="shared" si="13"/>
        <v>-2.037602002101043</v>
      </c>
    </row>
    <row r="131" spans="1:14" ht="18.75" customHeight="1" x14ac:dyDescent="0.3">
      <c r="A131" s="53">
        <v>125</v>
      </c>
      <c r="B131" s="2">
        <v>36760</v>
      </c>
      <c r="C131" s="89" t="s">
        <v>38</v>
      </c>
      <c r="D131" s="8">
        <v>512</v>
      </c>
      <c r="E131" s="10">
        <v>334</v>
      </c>
      <c r="F131" s="4">
        <v>2.04</v>
      </c>
      <c r="G131" s="3">
        <v>124</v>
      </c>
      <c r="H131" s="80">
        <f t="shared" si="7"/>
        <v>28.015393544426637</v>
      </c>
      <c r="I131" s="81">
        <f t="shared" si="8"/>
        <v>1.4473967275700486</v>
      </c>
      <c r="J131" s="80">
        <f t="shared" si="9"/>
        <v>0.30963016742589877</v>
      </c>
      <c r="K131" s="82">
        <f t="shared" si="10"/>
        <v>4.5961902581372347E-3</v>
      </c>
      <c r="L131" s="80">
        <f t="shared" si="11"/>
        <v>73.794014750852313</v>
      </c>
      <c r="M131" s="83">
        <f t="shared" si="12"/>
        <v>1.8680211387053092</v>
      </c>
      <c r="N131" s="83">
        <f t="shared" si="13"/>
        <v>-2.3376020021010433</v>
      </c>
    </row>
    <row r="132" spans="1:14" ht="18.75" customHeight="1" x14ac:dyDescent="0.3">
      <c r="A132" s="53">
        <v>126</v>
      </c>
      <c r="B132" s="2">
        <v>36760</v>
      </c>
      <c r="C132" s="89" t="s">
        <v>39</v>
      </c>
      <c r="D132" s="8">
        <v>935</v>
      </c>
      <c r="E132" s="10">
        <v>334</v>
      </c>
      <c r="F132" s="4">
        <v>0.67</v>
      </c>
      <c r="G132" s="3">
        <v>119</v>
      </c>
      <c r="H132" s="80">
        <f t="shared" si="7"/>
        <v>51.16092375788849</v>
      </c>
      <c r="I132" s="81">
        <f t="shared" si="8"/>
        <v>1.7089383774667355</v>
      </c>
      <c r="J132" s="80">
        <f t="shared" si="9"/>
        <v>-0.17392519729917355</v>
      </c>
      <c r="K132" s="82">
        <f t="shared" si="10"/>
        <v>2.5846277205878667E-3</v>
      </c>
      <c r="L132" s="80">
        <f t="shared" si="11"/>
        <v>134.76055428134163</v>
      </c>
      <c r="M132" s="83">
        <f t="shared" si="12"/>
        <v>2.1295627886019961</v>
      </c>
      <c r="N132" s="83">
        <f t="shared" si="13"/>
        <v>-2.5876020021010433</v>
      </c>
    </row>
    <row r="133" spans="1:14" ht="18.75" customHeight="1" x14ac:dyDescent="0.3">
      <c r="A133" s="53">
        <v>127</v>
      </c>
      <c r="B133" s="2">
        <v>36760</v>
      </c>
      <c r="C133" s="89" t="s">
        <v>40</v>
      </c>
      <c r="D133" s="8">
        <v>1367</v>
      </c>
      <c r="E133" s="10">
        <v>334</v>
      </c>
      <c r="F133" s="4">
        <v>0.42</v>
      </c>
      <c r="G133" s="3">
        <v>119</v>
      </c>
      <c r="H133" s="80">
        <f t="shared" si="7"/>
        <v>74.798912060998461</v>
      </c>
      <c r="I133" s="81">
        <f t="shared" si="8"/>
        <v>1.87389528116204</v>
      </c>
      <c r="J133" s="80">
        <f t="shared" si="9"/>
        <v>-0.37675070960209955</v>
      </c>
      <c r="K133" s="82">
        <f t="shared" si="10"/>
        <v>2.5846277205878667E-3</v>
      </c>
      <c r="L133" s="80">
        <f t="shared" si="11"/>
        <v>197.02425422737329</v>
      </c>
      <c r="M133" s="83">
        <f t="shared" si="12"/>
        <v>2.2945196922973006</v>
      </c>
      <c r="N133" s="83">
        <f t="shared" si="13"/>
        <v>-2.5876020021010433</v>
      </c>
    </row>
    <row r="134" spans="1:14" ht="18.75" customHeight="1" x14ac:dyDescent="0.3">
      <c r="A134" s="53">
        <v>128</v>
      </c>
      <c r="B134" s="2">
        <v>36760</v>
      </c>
      <c r="C134" s="89" t="s">
        <v>41</v>
      </c>
      <c r="D134" s="8">
        <v>1698</v>
      </c>
      <c r="E134" s="10">
        <v>334</v>
      </c>
      <c r="F134" s="4">
        <v>0.35</v>
      </c>
      <c r="G134" s="3">
        <v>116</v>
      </c>
      <c r="H134" s="80">
        <f t="shared" si="7"/>
        <v>92.910426246946145</v>
      </c>
      <c r="I134" s="81">
        <f t="shared" si="8"/>
        <v>1.9680644525021516</v>
      </c>
      <c r="J134" s="80">
        <f t="shared" si="9"/>
        <v>-0.45593195564972439</v>
      </c>
      <c r="K134" s="82">
        <f t="shared" si="10"/>
        <v>1.8297762989925629E-3</v>
      </c>
      <c r="L134" s="80">
        <f t="shared" si="11"/>
        <v>244.73093173231882</v>
      </c>
      <c r="M134" s="83">
        <f t="shared" si="12"/>
        <v>2.3886888636374124</v>
      </c>
      <c r="N134" s="83">
        <f t="shared" si="13"/>
        <v>-2.7376020021010432</v>
      </c>
    </row>
    <row r="135" spans="1:14" ht="18.75" customHeight="1" x14ac:dyDescent="0.3">
      <c r="A135" s="53">
        <v>129</v>
      </c>
      <c r="B135" s="2">
        <v>36760</v>
      </c>
      <c r="C135" s="89" t="s">
        <v>42</v>
      </c>
      <c r="D135" s="8">
        <v>2060</v>
      </c>
      <c r="E135" s="10">
        <v>334</v>
      </c>
      <c r="F135" s="4">
        <v>0.17</v>
      </c>
      <c r="G135" s="3">
        <v>112</v>
      </c>
      <c r="H135" s="80">
        <f t="shared" si="7"/>
        <v>112.71818496390405</v>
      </c>
      <c r="I135" s="81">
        <f t="shared" si="8"/>
        <v>2.051993986963371</v>
      </c>
      <c r="J135" s="80">
        <f t="shared" si="9"/>
        <v>-0.769551078621726</v>
      </c>
      <c r="K135" s="82">
        <f t="shared" si="10"/>
        <v>1.1545107946051418E-3</v>
      </c>
      <c r="L135" s="80">
        <f t="shared" si="11"/>
        <v>296.90560622413238</v>
      </c>
      <c r="M135" s="83">
        <f t="shared" si="12"/>
        <v>2.472618398098632</v>
      </c>
      <c r="N135" s="83">
        <f t="shared" si="13"/>
        <v>-2.9376020021010438</v>
      </c>
    </row>
    <row r="136" spans="1:14" ht="18.75" customHeight="1" x14ac:dyDescent="0.3">
      <c r="A136" s="53">
        <v>130</v>
      </c>
      <c r="B136" s="2">
        <v>36760</v>
      </c>
      <c r="C136" s="89" t="s">
        <v>43</v>
      </c>
      <c r="D136" s="8">
        <v>3004</v>
      </c>
      <c r="E136" s="10">
        <v>334</v>
      </c>
      <c r="F136" s="4">
        <v>0.12</v>
      </c>
      <c r="G136" s="3">
        <v>106</v>
      </c>
      <c r="H136" s="80">
        <f t="shared" ref="H136:H199" si="14">IF(OR(D136="",E136="",D136=0,E136=0),NA(),D136/(E136^0.5))</f>
        <v>164.37156681144066</v>
      </c>
      <c r="I136" s="81">
        <f t="shared" ref="I136:I199" si="15">IFERROR(LOG(H136),NA())</f>
        <v>2.2158266949263483</v>
      </c>
      <c r="J136" s="80">
        <f t="shared" ref="J136:J199" si="16">IFERROR(LOG(F136),NA())</f>
        <v>-0.92081875395237522</v>
      </c>
      <c r="K136" s="82">
        <f t="shared" ref="K136:K199" si="17">IF(OR(G136=0,G136=""),NA(),(10^(G136/20))*0.0000000029)</f>
        <v>5.786260713409755E-4</v>
      </c>
      <c r="L136" s="80">
        <f t="shared" ref="L136:L199" si="18">IF(OR(D136="",D136=0,E136="",E136=0),NA(),D136/(E136^(1/3)))</f>
        <v>432.96332092101636</v>
      </c>
      <c r="M136" s="83">
        <f t="shared" ref="M136:M199" si="19">IFERROR(LOG(L136),NA())</f>
        <v>2.6364511060616094</v>
      </c>
      <c r="N136" s="83">
        <f t="shared" ref="N136:N199" si="20">IFERROR(LOG(K136),NA())</f>
        <v>-3.2376020021010437</v>
      </c>
    </row>
    <row r="137" spans="1:14" ht="18.75" customHeight="1" x14ac:dyDescent="0.3">
      <c r="A137" s="53">
        <v>131</v>
      </c>
      <c r="B137" s="2">
        <v>36760</v>
      </c>
      <c r="C137" s="89" t="s">
        <v>45</v>
      </c>
      <c r="D137" s="8">
        <v>3706</v>
      </c>
      <c r="E137" s="10">
        <v>334</v>
      </c>
      <c r="F137" s="4">
        <v>0.05</v>
      </c>
      <c r="G137" s="3">
        <v>106</v>
      </c>
      <c r="H137" s="80">
        <f t="shared" si="14"/>
        <v>202.78329780399437</v>
      </c>
      <c r="I137" s="81">
        <f t="shared" si="15"/>
        <v>2.3070321815770964</v>
      </c>
      <c r="J137" s="80">
        <f t="shared" si="16"/>
        <v>-1.3010299956639813</v>
      </c>
      <c r="K137" s="82">
        <f t="shared" si="17"/>
        <v>5.786260713409755E-4</v>
      </c>
      <c r="L137" s="80">
        <f t="shared" si="18"/>
        <v>534.14183333331778</v>
      </c>
      <c r="M137" s="83">
        <f t="shared" si="19"/>
        <v>2.7276565927123571</v>
      </c>
      <c r="N137" s="83">
        <f t="shared" si="20"/>
        <v>-3.2376020021010437</v>
      </c>
    </row>
    <row r="138" spans="1:14" ht="18.75" customHeight="1" x14ac:dyDescent="0.3">
      <c r="A138" s="53">
        <v>132</v>
      </c>
      <c r="B138" s="2">
        <v>37130</v>
      </c>
      <c r="C138" s="89" t="s">
        <v>15</v>
      </c>
      <c r="D138" s="8">
        <v>50</v>
      </c>
      <c r="E138" s="10">
        <v>431</v>
      </c>
      <c r="F138" s="4">
        <v>7.92</v>
      </c>
      <c r="G138" s="3">
        <v>140</v>
      </c>
      <c r="H138" s="80">
        <f t="shared" si="14"/>
        <v>2.40841525429544</v>
      </c>
      <c r="I138" s="81">
        <f t="shared" si="15"/>
        <v>0.38173136925565299</v>
      </c>
      <c r="J138" s="80">
        <f t="shared" si="16"/>
        <v>0.89872518158949355</v>
      </c>
      <c r="K138" s="82">
        <f t="shared" si="17"/>
        <v>2.8999999999999998E-2</v>
      </c>
      <c r="L138" s="80">
        <f t="shared" si="18"/>
        <v>6.6192824669326038</v>
      </c>
      <c r="M138" s="83">
        <f t="shared" si="19"/>
        <v>0.82081091428244168</v>
      </c>
      <c r="N138" s="83">
        <f t="shared" si="20"/>
        <v>-1.5376020021010439</v>
      </c>
    </row>
    <row r="139" spans="1:14" ht="18.75" customHeight="1" x14ac:dyDescent="0.3">
      <c r="A139" s="53">
        <v>133</v>
      </c>
      <c r="B139" s="2">
        <v>37130</v>
      </c>
      <c r="C139" s="89" t="s">
        <v>22</v>
      </c>
      <c r="D139" s="8">
        <v>528</v>
      </c>
      <c r="E139" s="10">
        <v>431</v>
      </c>
      <c r="F139" s="4">
        <v>0.88</v>
      </c>
      <c r="G139" s="3">
        <v>128</v>
      </c>
      <c r="H139" s="80">
        <f t="shared" si="14"/>
        <v>25.432865085359847</v>
      </c>
      <c r="I139" s="81">
        <f t="shared" si="15"/>
        <v>1.4053952874534463</v>
      </c>
      <c r="J139" s="80">
        <f t="shared" si="16"/>
        <v>-5.551732784983137E-2</v>
      </c>
      <c r="K139" s="82">
        <f t="shared" si="17"/>
        <v>7.2844706513778019E-3</v>
      </c>
      <c r="L139" s="80">
        <f t="shared" si="18"/>
        <v>69.899622850808299</v>
      </c>
      <c r="M139" s="83">
        <f t="shared" si="19"/>
        <v>1.8444748324802351</v>
      </c>
      <c r="N139" s="83">
        <f t="shared" si="20"/>
        <v>-2.1376020021010427</v>
      </c>
    </row>
    <row r="140" spans="1:14" ht="18.75" customHeight="1" x14ac:dyDescent="0.3">
      <c r="A140" s="53">
        <v>134</v>
      </c>
      <c r="B140" s="2">
        <v>37130</v>
      </c>
      <c r="C140" s="89" t="s">
        <v>17</v>
      </c>
      <c r="D140" s="8">
        <v>844</v>
      </c>
      <c r="E140" s="10">
        <v>431</v>
      </c>
      <c r="F140" s="4">
        <v>0.67</v>
      </c>
      <c r="G140" s="3">
        <v>122</v>
      </c>
      <c r="H140" s="80">
        <f t="shared" si="14"/>
        <v>40.654049492507028</v>
      </c>
      <c r="I140" s="81">
        <f t="shared" si="15"/>
        <v>1.6091038115452891</v>
      </c>
      <c r="J140" s="80">
        <f t="shared" si="16"/>
        <v>-0.17392519729917355</v>
      </c>
      <c r="K140" s="82">
        <f t="shared" si="17"/>
        <v>3.6508836942030862E-3</v>
      </c>
      <c r="L140" s="80">
        <f t="shared" si="18"/>
        <v>111.73348804182235</v>
      </c>
      <c r="M140" s="83">
        <f t="shared" si="19"/>
        <v>2.048183356572078</v>
      </c>
      <c r="N140" s="83">
        <f t="shared" si="20"/>
        <v>-2.4376020021010438</v>
      </c>
    </row>
    <row r="141" spans="1:14" ht="18.75" customHeight="1" x14ac:dyDescent="0.3">
      <c r="A141" s="53">
        <v>135</v>
      </c>
      <c r="B141" s="2">
        <v>37130</v>
      </c>
      <c r="C141" s="89" t="s">
        <v>18</v>
      </c>
      <c r="D141" s="8">
        <v>1373</v>
      </c>
      <c r="E141" s="10">
        <v>431</v>
      </c>
      <c r="F141" s="4">
        <v>0.37</v>
      </c>
      <c r="G141" s="3">
        <v>118</v>
      </c>
      <c r="H141" s="80">
        <f t="shared" si="14"/>
        <v>66.135082882952787</v>
      </c>
      <c r="I141" s="81">
        <f t="shared" si="15"/>
        <v>1.8204319021563893</v>
      </c>
      <c r="J141" s="80">
        <f t="shared" si="16"/>
        <v>-0.43179827593300502</v>
      </c>
      <c r="K141" s="82">
        <f t="shared" si="17"/>
        <v>2.3035518807004215E-3</v>
      </c>
      <c r="L141" s="80">
        <f t="shared" si="18"/>
        <v>181.7654965419693</v>
      </c>
      <c r="M141" s="83">
        <f t="shared" si="19"/>
        <v>2.2595114471831779</v>
      </c>
      <c r="N141" s="83">
        <f t="shared" si="20"/>
        <v>-2.6376020021010431</v>
      </c>
    </row>
    <row r="142" spans="1:14" ht="18.75" customHeight="1" x14ac:dyDescent="0.3">
      <c r="A142" s="53">
        <v>136</v>
      </c>
      <c r="B142" s="2">
        <v>37130</v>
      </c>
      <c r="C142" s="89" t="s">
        <v>23</v>
      </c>
      <c r="D142" s="8">
        <v>1954</v>
      </c>
      <c r="E142" s="10">
        <v>431</v>
      </c>
      <c r="F142" s="4">
        <v>0.36</v>
      </c>
      <c r="G142" s="3">
        <v>119</v>
      </c>
      <c r="H142" s="80">
        <f t="shared" si="14"/>
        <v>94.120868137865799</v>
      </c>
      <c r="I142" s="81">
        <f t="shared" si="15"/>
        <v>1.9736859243023885</v>
      </c>
      <c r="J142" s="80">
        <f t="shared" si="16"/>
        <v>-0.44369749923271273</v>
      </c>
      <c r="K142" s="82">
        <f t="shared" si="17"/>
        <v>2.5846277205878667E-3</v>
      </c>
      <c r="L142" s="80">
        <f t="shared" si="18"/>
        <v>258.68155880772616</v>
      </c>
      <c r="M142" s="83">
        <f t="shared" si="19"/>
        <v>2.4127654693291771</v>
      </c>
      <c r="N142" s="83">
        <f t="shared" si="20"/>
        <v>-2.5876020021010433</v>
      </c>
    </row>
    <row r="143" spans="1:14" ht="18.75" customHeight="1" x14ac:dyDescent="0.3">
      <c r="A143" s="53">
        <v>137</v>
      </c>
      <c r="B143" s="2">
        <v>37130</v>
      </c>
      <c r="C143" s="89" t="s">
        <v>20</v>
      </c>
      <c r="D143" s="8">
        <v>2006</v>
      </c>
      <c r="E143" s="10">
        <v>431</v>
      </c>
      <c r="F143" s="4">
        <v>0.4</v>
      </c>
      <c r="G143" s="3">
        <v>116</v>
      </c>
      <c r="H143" s="80">
        <f t="shared" si="14"/>
        <v>96.625620002333065</v>
      </c>
      <c r="I143" s="81">
        <f t="shared" si="15"/>
        <v>1.9850922936040336</v>
      </c>
      <c r="J143" s="80">
        <f t="shared" si="16"/>
        <v>-0.3979400086720376</v>
      </c>
      <c r="K143" s="82">
        <f t="shared" si="17"/>
        <v>1.8297762989925629E-3</v>
      </c>
      <c r="L143" s="80">
        <f t="shared" si="18"/>
        <v>265.56561257333607</v>
      </c>
      <c r="M143" s="83">
        <f t="shared" si="19"/>
        <v>2.4241718386308224</v>
      </c>
      <c r="N143" s="83">
        <f t="shared" si="20"/>
        <v>-2.7376020021010432</v>
      </c>
    </row>
    <row r="144" spans="1:14" ht="18.75" customHeight="1" x14ac:dyDescent="0.3">
      <c r="A144" s="53">
        <v>138</v>
      </c>
      <c r="B144" s="2">
        <v>37130</v>
      </c>
      <c r="C144" s="89" t="s">
        <v>21</v>
      </c>
      <c r="D144" s="8">
        <v>2428</v>
      </c>
      <c r="E144" s="10">
        <v>431</v>
      </c>
      <c r="F144" s="4">
        <v>0.11</v>
      </c>
      <c r="G144" s="3">
        <v>114</v>
      </c>
      <c r="H144" s="80">
        <f t="shared" si="14"/>
        <v>116.95264474858658</v>
      </c>
      <c r="I144" s="81">
        <f t="shared" si="15"/>
        <v>2.0680100473228542</v>
      </c>
      <c r="J144" s="80">
        <f t="shared" si="16"/>
        <v>-0.95860731484177497</v>
      </c>
      <c r="K144" s="82">
        <f t="shared" si="17"/>
        <v>1.4534429775190931E-3</v>
      </c>
      <c r="L144" s="80">
        <f t="shared" si="18"/>
        <v>321.43235659424727</v>
      </c>
      <c r="M144" s="83">
        <f t="shared" si="19"/>
        <v>2.5070895923496428</v>
      </c>
      <c r="N144" s="83">
        <f t="shared" si="20"/>
        <v>-2.8376020021010429</v>
      </c>
    </row>
    <row r="145" spans="1:14" ht="18.75" customHeight="1" x14ac:dyDescent="0.3">
      <c r="A145" s="53">
        <v>139</v>
      </c>
      <c r="B145" s="2">
        <v>37130</v>
      </c>
      <c r="C145" s="89" t="s">
        <v>37</v>
      </c>
      <c r="D145" s="8">
        <v>1267</v>
      </c>
      <c r="E145" s="10">
        <v>431</v>
      </c>
      <c r="F145" s="4">
        <v>0.13</v>
      </c>
      <c r="G145" s="3">
        <v>123</v>
      </c>
      <c r="H145" s="80">
        <f t="shared" si="14"/>
        <v>61.029242543846451</v>
      </c>
      <c r="I145" s="81">
        <f t="shared" si="15"/>
        <v>1.7855379798030755</v>
      </c>
      <c r="J145" s="80">
        <f t="shared" si="16"/>
        <v>-0.88605664769316317</v>
      </c>
      <c r="K145" s="82">
        <f t="shared" si="17"/>
        <v>4.0963588794059938E-3</v>
      </c>
      <c r="L145" s="80">
        <f t="shared" si="18"/>
        <v>167.73261771207217</v>
      </c>
      <c r="M145" s="83">
        <f t="shared" si="19"/>
        <v>2.2246175248298643</v>
      </c>
      <c r="N145" s="83">
        <f t="shared" si="20"/>
        <v>-2.3876020021010431</v>
      </c>
    </row>
    <row r="146" spans="1:14" ht="18.75" customHeight="1" x14ac:dyDescent="0.3">
      <c r="A146" s="53">
        <v>140</v>
      </c>
      <c r="B146" s="2">
        <v>37130</v>
      </c>
      <c r="C146" s="89" t="s">
        <v>38</v>
      </c>
      <c r="D146" s="8">
        <v>1372</v>
      </c>
      <c r="E146" s="10">
        <v>431</v>
      </c>
      <c r="F146" s="4">
        <v>0.66</v>
      </c>
      <c r="G146" s="3">
        <v>127</v>
      </c>
      <c r="H146" s="80">
        <f t="shared" si="14"/>
        <v>66.086914577866878</v>
      </c>
      <c r="I146" s="81">
        <f t="shared" si="15"/>
        <v>1.8201154762903671</v>
      </c>
      <c r="J146" s="80">
        <f t="shared" si="16"/>
        <v>-0.18045606445813131</v>
      </c>
      <c r="K146" s="82">
        <f t="shared" si="17"/>
        <v>6.4922913018481826E-3</v>
      </c>
      <c r="L146" s="80">
        <f t="shared" si="18"/>
        <v>181.63311089263064</v>
      </c>
      <c r="M146" s="83">
        <f t="shared" si="19"/>
        <v>2.2591950213171557</v>
      </c>
      <c r="N146" s="83">
        <f t="shared" si="20"/>
        <v>-2.1876020021010443</v>
      </c>
    </row>
    <row r="147" spans="1:14" ht="18.75" customHeight="1" x14ac:dyDescent="0.3">
      <c r="A147" s="53">
        <v>141</v>
      </c>
      <c r="B147" s="2">
        <v>37130</v>
      </c>
      <c r="C147" s="89" t="s">
        <v>39</v>
      </c>
      <c r="D147" s="8">
        <v>1584</v>
      </c>
      <c r="E147" s="10">
        <v>431</v>
      </c>
      <c r="F147" s="4">
        <v>0.23</v>
      </c>
      <c r="G147" s="3">
        <v>117</v>
      </c>
      <c r="H147" s="80">
        <f t="shared" si="14"/>
        <v>76.298595256079551</v>
      </c>
      <c r="I147" s="81">
        <f t="shared" si="15"/>
        <v>1.8825165421731089</v>
      </c>
      <c r="J147" s="80">
        <f t="shared" si="16"/>
        <v>-0.63827216398240705</v>
      </c>
      <c r="K147" s="82">
        <f t="shared" si="17"/>
        <v>2.0530427747140019E-3</v>
      </c>
      <c r="L147" s="80">
        <f t="shared" si="18"/>
        <v>209.6988685524249</v>
      </c>
      <c r="M147" s="83">
        <f t="shared" si="19"/>
        <v>2.3215960871998975</v>
      </c>
      <c r="N147" s="83">
        <f t="shared" si="20"/>
        <v>-2.6876020021010434</v>
      </c>
    </row>
    <row r="148" spans="1:14" ht="18.75" customHeight="1" x14ac:dyDescent="0.3">
      <c r="A148" s="53">
        <v>142</v>
      </c>
      <c r="B148" s="2">
        <v>37130</v>
      </c>
      <c r="C148" s="89" t="s">
        <v>40</v>
      </c>
      <c r="D148" s="8">
        <v>1690</v>
      </c>
      <c r="E148" s="10">
        <v>431</v>
      </c>
      <c r="F148" s="4">
        <v>0.43</v>
      </c>
      <c r="G148" s="3">
        <v>124</v>
      </c>
      <c r="H148" s="80">
        <f t="shared" si="14"/>
        <v>81.404435595185873</v>
      </c>
      <c r="I148" s="81">
        <f t="shared" si="15"/>
        <v>1.9106480695333077</v>
      </c>
      <c r="J148" s="80">
        <f t="shared" si="16"/>
        <v>-0.36653154442041347</v>
      </c>
      <c r="K148" s="82">
        <f t="shared" si="17"/>
        <v>4.5961902581372347E-3</v>
      </c>
      <c r="L148" s="80">
        <f t="shared" si="18"/>
        <v>223.731747382322</v>
      </c>
      <c r="M148" s="83">
        <f t="shared" si="19"/>
        <v>2.3497276145600963</v>
      </c>
      <c r="N148" s="83">
        <f t="shared" si="20"/>
        <v>-2.3376020021010433</v>
      </c>
    </row>
    <row r="149" spans="1:14" ht="18.75" customHeight="1" x14ac:dyDescent="0.3">
      <c r="A149" s="53">
        <v>143</v>
      </c>
      <c r="B149" s="2">
        <v>37130</v>
      </c>
      <c r="C149" s="89" t="s">
        <v>41</v>
      </c>
      <c r="D149" s="8">
        <v>1954</v>
      </c>
      <c r="E149" s="10">
        <v>431</v>
      </c>
      <c r="F149" s="4">
        <v>0.25</v>
      </c>
      <c r="G149" s="3">
        <v>120</v>
      </c>
      <c r="H149" s="80">
        <f t="shared" si="14"/>
        <v>94.120868137865799</v>
      </c>
      <c r="I149" s="81">
        <f t="shared" si="15"/>
        <v>1.9736859243023885</v>
      </c>
      <c r="J149" s="80">
        <f t="shared" si="16"/>
        <v>-0.6020599913279624</v>
      </c>
      <c r="K149" s="82">
        <f t="shared" si="17"/>
        <v>2.8999999999999998E-3</v>
      </c>
      <c r="L149" s="80">
        <f t="shared" si="18"/>
        <v>258.68155880772616</v>
      </c>
      <c r="M149" s="83">
        <f t="shared" si="19"/>
        <v>2.4127654693291771</v>
      </c>
      <c r="N149" s="83">
        <f t="shared" si="20"/>
        <v>-2.5376020021010439</v>
      </c>
    </row>
    <row r="150" spans="1:14" ht="18.75" customHeight="1" x14ac:dyDescent="0.3">
      <c r="A150" s="53">
        <v>144</v>
      </c>
      <c r="B150" s="2">
        <v>37132</v>
      </c>
      <c r="C150" s="89" t="s">
        <v>37</v>
      </c>
      <c r="D150" s="8">
        <v>1056</v>
      </c>
      <c r="E150" s="10">
        <v>431</v>
      </c>
      <c r="F150" s="4">
        <v>0.23</v>
      </c>
      <c r="G150" s="3">
        <v>123</v>
      </c>
      <c r="H150" s="80">
        <f t="shared" si="14"/>
        <v>50.865730170719694</v>
      </c>
      <c r="I150" s="81">
        <f t="shared" si="15"/>
        <v>1.7064252831174276</v>
      </c>
      <c r="J150" s="80">
        <f t="shared" si="16"/>
        <v>-0.63827216398240705</v>
      </c>
      <c r="K150" s="82">
        <f t="shared" si="17"/>
        <v>4.0963588794059938E-3</v>
      </c>
      <c r="L150" s="80">
        <f t="shared" si="18"/>
        <v>139.7992457016166</v>
      </c>
      <c r="M150" s="83">
        <f t="shared" si="19"/>
        <v>2.1455048281442162</v>
      </c>
      <c r="N150" s="83">
        <f t="shared" si="20"/>
        <v>-2.3876020021010431</v>
      </c>
    </row>
    <row r="151" spans="1:14" ht="18.75" customHeight="1" x14ac:dyDescent="0.3">
      <c r="A151" s="53">
        <v>145</v>
      </c>
      <c r="B151" s="2">
        <v>37132</v>
      </c>
      <c r="C151" s="89" t="s">
        <v>38</v>
      </c>
      <c r="D151" s="8">
        <v>1109</v>
      </c>
      <c r="E151" s="10">
        <v>431</v>
      </c>
      <c r="F151" s="4">
        <v>0.75</v>
      </c>
      <c r="G151" s="3">
        <v>118</v>
      </c>
      <c r="H151" s="80">
        <f t="shared" si="14"/>
        <v>53.418650340272862</v>
      </c>
      <c r="I151" s="81">
        <f t="shared" si="15"/>
        <v>1.7276929110687942</v>
      </c>
      <c r="J151" s="80">
        <f t="shared" si="16"/>
        <v>-0.12493873660829995</v>
      </c>
      <c r="K151" s="82">
        <f t="shared" si="17"/>
        <v>2.3035518807004215E-3</v>
      </c>
      <c r="L151" s="80">
        <f t="shared" si="18"/>
        <v>146.81568511656516</v>
      </c>
      <c r="M151" s="83">
        <f t="shared" si="19"/>
        <v>2.166772456095583</v>
      </c>
      <c r="N151" s="83">
        <f t="shared" si="20"/>
        <v>-2.6376020021010431</v>
      </c>
    </row>
    <row r="152" spans="1:14" ht="18.75" customHeight="1" x14ac:dyDescent="0.3">
      <c r="A152" s="53">
        <v>146</v>
      </c>
      <c r="B152" s="2">
        <v>37132</v>
      </c>
      <c r="C152" s="89" t="s">
        <v>39</v>
      </c>
      <c r="D152" s="8">
        <v>1320</v>
      </c>
      <c r="E152" s="10">
        <v>431</v>
      </c>
      <c r="F152" s="4">
        <v>0.23</v>
      </c>
      <c r="G152" s="3">
        <v>116</v>
      </c>
      <c r="H152" s="80">
        <f t="shared" si="14"/>
        <v>63.582162713399619</v>
      </c>
      <c r="I152" s="81">
        <f t="shared" si="15"/>
        <v>1.803335296125484</v>
      </c>
      <c r="J152" s="80">
        <f t="shared" si="16"/>
        <v>-0.63827216398240705</v>
      </c>
      <c r="K152" s="82">
        <f t="shared" si="17"/>
        <v>1.8297762989925629E-3</v>
      </c>
      <c r="L152" s="80">
        <f t="shared" si="18"/>
        <v>174.74905712702073</v>
      </c>
      <c r="M152" s="83">
        <f t="shared" si="19"/>
        <v>2.2424148411522729</v>
      </c>
      <c r="N152" s="83">
        <f t="shared" si="20"/>
        <v>-2.7376020021010432</v>
      </c>
    </row>
    <row r="153" spans="1:14" ht="18.75" customHeight="1" x14ac:dyDescent="0.3">
      <c r="A153" s="53">
        <v>147</v>
      </c>
      <c r="B153" s="2">
        <v>37132</v>
      </c>
      <c r="C153" s="89" t="s">
        <v>40</v>
      </c>
      <c r="D153" s="8">
        <v>1584</v>
      </c>
      <c r="E153" s="10">
        <v>431</v>
      </c>
      <c r="F153" s="4">
        <v>0.21</v>
      </c>
      <c r="G153" s="3">
        <v>116</v>
      </c>
      <c r="H153" s="80">
        <f t="shared" si="14"/>
        <v>76.298595256079551</v>
      </c>
      <c r="I153" s="81">
        <f t="shared" si="15"/>
        <v>1.8825165421731089</v>
      </c>
      <c r="J153" s="80">
        <f t="shared" si="16"/>
        <v>-0.6777807052660807</v>
      </c>
      <c r="K153" s="82">
        <f t="shared" si="17"/>
        <v>1.8297762989925629E-3</v>
      </c>
      <c r="L153" s="80">
        <f t="shared" si="18"/>
        <v>209.6988685524249</v>
      </c>
      <c r="M153" s="83">
        <f t="shared" si="19"/>
        <v>2.3215960871998975</v>
      </c>
      <c r="N153" s="83">
        <f t="shared" si="20"/>
        <v>-2.7376020021010432</v>
      </c>
    </row>
    <row r="154" spans="1:14" ht="18.75" customHeight="1" x14ac:dyDescent="0.3">
      <c r="A154" s="53">
        <v>148</v>
      </c>
      <c r="B154" s="2">
        <v>37132</v>
      </c>
      <c r="C154" s="89" t="s">
        <v>41</v>
      </c>
      <c r="D154" s="8">
        <v>1748</v>
      </c>
      <c r="E154" s="10">
        <v>431</v>
      </c>
      <c r="F154" s="4">
        <v>0.15</v>
      </c>
      <c r="G154" s="3">
        <v>114</v>
      </c>
      <c r="H154" s="80">
        <f t="shared" si="14"/>
        <v>84.198197290168594</v>
      </c>
      <c r="I154" s="81">
        <f t="shared" si="15"/>
        <v>1.9253027932180184</v>
      </c>
      <c r="J154" s="80">
        <f t="shared" si="16"/>
        <v>-0.82390874094431876</v>
      </c>
      <c r="K154" s="82">
        <f t="shared" si="17"/>
        <v>1.4534429775190931E-3</v>
      </c>
      <c r="L154" s="80">
        <f t="shared" si="18"/>
        <v>231.41011504396383</v>
      </c>
      <c r="M154" s="83">
        <f t="shared" si="19"/>
        <v>2.3643823382448073</v>
      </c>
      <c r="N154" s="83">
        <f t="shared" si="20"/>
        <v>-2.8376020021010429</v>
      </c>
    </row>
    <row r="155" spans="1:14" ht="18.75" customHeight="1" x14ac:dyDescent="0.3">
      <c r="A155" s="53">
        <v>149</v>
      </c>
      <c r="B155" s="2">
        <v>37132</v>
      </c>
      <c r="C155" s="89" t="s">
        <v>15</v>
      </c>
      <c r="D155" s="8">
        <v>50</v>
      </c>
      <c r="E155" s="10">
        <v>418</v>
      </c>
      <c r="F155" s="4">
        <v>9.1999999999999993</v>
      </c>
      <c r="G155" s="3">
        <v>136</v>
      </c>
      <c r="H155" s="80">
        <f t="shared" si="14"/>
        <v>2.4455799402225926</v>
      </c>
      <c r="I155" s="81">
        <f t="shared" si="15"/>
        <v>0.38838186344850123</v>
      </c>
      <c r="J155" s="80">
        <f t="shared" si="16"/>
        <v>0.96378782734555524</v>
      </c>
      <c r="K155" s="82">
        <f t="shared" si="17"/>
        <v>1.8297762989925619E-2</v>
      </c>
      <c r="L155" s="80">
        <f t="shared" si="18"/>
        <v>6.6872040781929609</v>
      </c>
      <c r="M155" s="83">
        <f t="shared" si="19"/>
        <v>0.82524457707767385</v>
      </c>
      <c r="N155" s="83">
        <f t="shared" si="20"/>
        <v>-1.7376020021010437</v>
      </c>
    </row>
    <row r="156" spans="1:14" ht="18.75" customHeight="1" x14ac:dyDescent="0.3">
      <c r="A156" s="53">
        <v>150</v>
      </c>
      <c r="B156" s="2">
        <v>37132</v>
      </c>
      <c r="C156" s="89" t="s">
        <v>22</v>
      </c>
      <c r="D156" s="8">
        <v>643</v>
      </c>
      <c r="E156" s="10">
        <v>418</v>
      </c>
      <c r="F156" s="4">
        <v>0.47</v>
      </c>
      <c r="G156" s="3">
        <v>130</v>
      </c>
      <c r="H156" s="80">
        <f t="shared" si="14"/>
        <v>31.450158031262539</v>
      </c>
      <c r="I156" s="81">
        <f t="shared" si="15"/>
        <v>1.4976228320367044</v>
      </c>
      <c r="J156" s="80">
        <f t="shared" si="16"/>
        <v>-0.32790214206428259</v>
      </c>
      <c r="K156" s="82">
        <f t="shared" si="17"/>
        <v>9.1706052144883161E-3</v>
      </c>
      <c r="L156" s="80">
        <f t="shared" si="18"/>
        <v>85.99744444556147</v>
      </c>
      <c r="M156" s="83">
        <f t="shared" si="19"/>
        <v>1.9344855456658772</v>
      </c>
      <c r="N156" s="83">
        <f t="shared" si="20"/>
        <v>-2.037602002101043</v>
      </c>
    </row>
    <row r="157" spans="1:14" ht="18.75" customHeight="1" x14ac:dyDescent="0.3">
      <c r="A157" s="53">
        <v>151</v>
      </c>
      <c r="B157" s="2">
        <v>37132</v>
      </c>
      <c r="C157" s="89" t="s">
        <v>17</v>
      </c>
      <c r="D157" s="8">
        <v>950</v>
      </c>
      <c r="E157" s="10">
        <v>418</v>
      </c>
      <c r="F157" s="4">
        <v>0.36</v>
      </c>
      <c r="G157" s="3">
        <v>124</v>
      </c>
      <c r="H157" s="80">
        <f t="shared" si="14"/>
        <v>46.466018864229255</v>
      </c>
      <c r="I157" s="81">
        <f t="shared" si="15"/>
        <v>1.6671354644013301</v>
      </c>
      <c r="J157" s="80">
        <f t="shared" si="16"/>
        <v>-0.44369749923271273</v>
      </c>
      <c r="K157" s="82">
        <f t="shared" si="17"/>
        <v>4.5961902581372347E-3</v>
      </c>
      <c r="L157" s="80">
        <f t="shared" si="18"/>
        <v>127.05687748566625</v>
      </c>
      <c r="M157" s="83">
        <f t="shared" si="19"/>
        <v>2.103998178030503</v>
      </c>
      <c r="N157" s="83">
        <f t="shared" si="20"/>
        <v>-2.3376020021010433</v>
      </c>
    </row>
    <row r="158" spans="1:14" ht="18.75" customHeight="1" x14ac:dyDescent="0.3">
      <c r="A158" s="53">
        <v>152</v>
      </c>
      <c r="B158" s="2">
        <v>37132</v>
      </c>
      <c r="C158" s="89" t="s">
        <v>18</v>
      </c>
      <c r="D158" s="8">
        <v>1415</v>
      </c>
      <c r="E158" s="10">
        <v>418</v>
      </c>
      <c r="F158" s="4">
        <v>0.33</v>
      </c>
      <c r="G158" s="3">
        <v>120</v>
      </c>
      <c r="H158" s="80">
        <f t="shared" si="14"/>
        <v>69.209912308299366</v>
      </c>
      <c r="I158" s="81">
        <f t="shared" si="15"/>
        <v>1.8401682989727914</v>
      </c>
      <c r="J158" s="80">
        <f t="shared" si="16"/>
        <v>-0.48148606012211248</v>
      </c>
      <c r="K158" s="82">
        <f t="shared" si="17"/>
        <v>2.8999999999999998E-3</v>
      </c>
      <c r="L158" s="80">
        <f t="shared" si="18"/>
        <v>189.24787541286079</v>
      </c>
      <c r="M158" s="83">
        <f t="shared" si="19"/>
        <v>2.2770310126019639</v>
      </c>
      <c r="N158" s="83">
        <f t="shared" si="20"/>
        <v>-2.5376020021010439</v>
      </c>
    </row>
    <row r="159" spans="1:14" ht="18.75" customHeight="1" x14ac:dyDescent="0.3">
      <c r="A159" s="53">
        <v>153</v>
      </c>
      <c r="B159" s="2">
        <v>37132</v>
      </c>
      <c r="C159" s="89" t="s">
        <v>23</v>
      </c>
      <c r="D159" s="8">
        <v>2057</v>
      </c>
      <c r="E159" s="10">
        <v>418</v>
      </c>
      <c r="F159" s="4">
        <v>0.18</v>
      </c>
      <c r="G159" s="3">
        <v>118</v>
      </c>
      <c r="H159" s="80">
        <f t="shared" si="14"/>
        <v>100.61115874075746</v>
      </c>
      <c r="I159" s="81">
        <f t="shared" si="15"/>
        <v>2.0026461508072066</v>
      </c>
      <c r="J159" s="80">
        <f t="shared" si="16"/>
        <v>-0.74472749489669399</v>
      </c>
      <c r="K159" s="82">
        <f t="shared" si="17"/>
        <v>2.3035518807004215E-3</v>
      </c>
      <c r="L159" s="80">
        <f t="shared" si="18"/>
        <v>275.11157577685839</v>
      </c>
      <c r="M159" s="83">
        <f t="shared" si="19"/>
        <v>2.4395088644363789</v>
      </c>
      <c r="N159" s="83">
        <f t="shared" si="20"/>
        <v>-2.6376020021010431</v>
      </c>
    </row>
    <row r="160" spans="1:14" ht="18.75" customHeight="1" x14ac:dyDescent="0.3">
      <c r="A160" s="53">
        <v>154</v>
      </c>
      <c r="B160" s="2">
        <v>37132</v>
      </c>
      <c r="C160" s="89" t="s">
        <v>20</v>
      </c>
      <c r="D160" s="8">
        <v>1953</v>
      </c>
      <c r="E160" s="10">
        <v>418</v>
      </c>
      <c r="F160" s="4">
        <v>0.2</v>
      </c>
      <c r="G160" s="3">
        <v>109</v>
      </c>
      <c r="H160" s="80">
        <f t="shared" si="14"/>
        <v>95.524352465094466</v>
      </c>
      <c r="I160" s="81">
        <f t="shared" si="15"/>
        <v>1.9801141024003368</v>
      </c>
      <c r="J160" s="80">
        <f t="shared" si="16"/>
        <v>-0.69897000433601875</v>
      </c>
      <c r="K160" s="82">
        <f t="shared" si="17"/>
        <v>8.1733105006669257E-4</v>
      </c>
      <c r="L160" s="80">
        <f t="shared" si="18"/>
        <v>261.20219129421707</v>
      </c>
      <c r="M160" s="83">
        <f t="shared" si="19"/>
        <v>2.4169768160295093</v>
      </c>
      <c r="N160" s="83">
        <f t="shared" si="20"/>
        <v>-3.0876020021010433</v>
      </c>
    </row>
    <row r="161" spans="1:14" ht="18.75" customHeight="1" x14ac:dyDescent="0.3">
      <c r="A161" s="53">
        <v>155</v>
      </c>
      <c r="B161" s="2">
        <v>37132</v>
      </c>
      <c r="C161" s="89" t="s">
        <v>21</v>
      </c>
      <c r="D161" s="8">
        <v>2428</v>
      </c>
      <c r="E161" s="10">
        <v>418</v>
      </c>
      <c r="F161" s="4">
        <v>0.08</v>
      </c>
      <c r="G161" s="3">
        <v>109</v>
      </c>
      <c r="H161" s="80">
        <f t="shared" si="14"/>
        <v>118.75736189720909</v>
      </c>
      <c r="I161" s="81">
        <f t="shared" si="15"/>
        <v>2.0746605415157022</v>
      </c>
      <c r="J161" s="80">
        <f t="shared" si="16"/>
        <v>-1.0969100130080565</v>
      </c>
      <c r="K161" s="82">
        <f t="shared" si="17"/>
        <v>8.1733105006669257E-4</v>
      </c>
      <c r="L161" s="80">
        <f t="shared" si="18"/>
        <v>324.73063003705016</v>
      </c>
      <c r="M161" s="83">
        <f t="shared" si="19"/>
        <v>2.511523255144875</v>
      </c>
      <c r="N161" s="83">
        <f t="shared" si="20"/>
        <v>-3.0876020021010433</v>
      </c>
    </row>
    <row r="162" spans="1:14" ht="18.75" customHeight="1" x14ac:dyDescent="0.3">
      <c r="A162" s="53">
        <v>156</v>
      </c>
      <c r="B162" s="2">
        <v>36767</v>
      </c>
      <c r="C162" s="89" t="s">
        <v>37</v>
      </c>
      <c r="D162" s="8">
        <v>211</v>
      </c>
      <c r="E162" s="10">
        <v>338</v>
      </c>
      <c r="F162" s="4">
        <v>4.08</v>
      </c>
      <c r="G162" s="3">
        <v>131</v>
      </c>
      <c r="H162" s="80">
        <f t="shared" si="14"/>
        <v>11.476886986950888</v>
      </c>
      <c r="I162" s="81">
        <f t="shared" si="15"/>
        <v>1.0598241051588653</v>
      </c>
      <c r="J162" s="80">
        <f t="shared" si="16"/>
        <v>0.61066016308987991</v>
      </c>
      <c r="K162" s="82">
        <f t="shared" si="17"/>
        <v>1.0289588287773703E-2</v>
      </c>
      <c r="L162" s="80">
        <f t="shared" si="18"/>
        <v>30.290763618786126</v>
      </c>
      <c r="M162" s="83">
        <f t="shared" si="19"/>
        <v>1.4813102218718077</v>
      </c>
      <c r="N162" s="83">
        <f t="shared" si="20"/>
        <v>-1.9876020021010432</v>
      </c>
    </row>
    <row r="163" spans="1:14" ht="18.75" customHeight="1" x14ac:dyDescent="0.3">
      <c r="A163" s="53">
        <v>157</v>
      </c>
      <c r="B163" s="2">
        <v>36767</v>
      </c>
      <c r="C163" s="89" t="s">
        <v>36</v>
      </c>
      <c r="D163" s="8">
        <v>60</v>
      </c>
      <c r="E163" s="10">
        <v>338</v>
      </c>
      <c r="F163" s="4">
        <v>5.08</v>
      </c>
      <c r="G163" s="3">
        <v>142</v>
      </c>
      <c r="H163" s="80">
        <f t="shared" si="14"/>
        <v>3.263569759322527</v>
      </c>
      <c r="I163" s="81">
        <f t="shared" si="15"/>
        <v>0.51369290024481629</v>
      </c>
      <c r="J163" s="80">
        <f t="shared" si="16"/>
        <v>0.70586371228391931</v>
      </c>
      <c r="K163" s="82">
        <f t="shared" si="17"/>
        <v>3.6508836942030838E-2</v>
      </c>
      <c r="L163" s="80">
        <f t="shared" si="18"/>
        <v>8.6134872849628792</v>
      </c>
      <c r="M163" s="83">
        <f t="shared" si="19"/>
        <v>0.93517901695775862</v>
      </c>
      <c r="N163" s="83">
        <f t="shared" si="20"/>
        <v>-1.4376020021010441</v>
      </c>
    </row>
    <row r="164" spans="1:14" ht="18.75" customHeight="1" x14ac:dyDescent="0.3">
      <c r="A164" s="53">
        <v>158</v>
      </c>
      <c r="B164" s="2">
        <v>36767</v>
      </c>
      <c r="C164" s="89" t="s">
        <v>38</v>
      </c>
      <c r="D164" s="8">
        <v>422</v>
      </c>
      <c r="E164" s="10">
        <v>338</v>
      </c>
      <c r="F164" s="4">
        <v>2.4</v>
      </c>
      <c r="G164" s="3">
        <v>131</v>
      </c>
      <c r="H164" s="80">
        <f t="shared" si="14"/>
        <v>22.953773973901775</v>
      </c>
      <c r="I164" s="81">
        <f t="shared" si="15"/>
        <v>1.3608541008228465</v>
      </c>
      <c r="J164" s="80">
        <f t="shared" si="16"/>
        <v>0.38021124171160603</v>
      </c>
      <c r="K164" s="82">
        <f t="shared" si="17"/>
        <v>1.0289588287773703E-2</v>
      </c>
      <c r="L164" s="80">
        <f t="shared" si="18"/>
        <v>60.581527237572253</v>
      </c>
      <c r="M164" s="83">
        <f t="shared" si="19"/>
        <v>1.782340217535789</v>
      </c>
      <c r="N164" s="83">
        <f t="shared" si="20"/>
        <v>-1.9876020021010432</v>
      </c>
    </row>
    <row r="165" spans="1:14" ht="18.75" customHeight="1" x14ac:dyDescent="0.3">
      <c r="A165" s="53">
        <v>159</v>
      </c>
      <c r="B165" s="2">
        <v>36767</v>
      </c>
      <c r="C165" s="89" t="s">
        <v>39</v>
      </c>
      <c r="D165" s="8">
        <v>792</v>
      </c>
      <c r="E165" s="10">
        <v>338</v>
      </c>
      <c r="F165" s="4">
        <v>0.7</v>
      </c>
      <c r="G165" s="3">
        <v>120</v>
      </c>
      <c r="H165" s="80">
        <f t="shared" si="14"/>
        <v>43.079120823057359</v>
      </c>
      <c r="I165" s="81">
        <f t="shared" si="15"/>
        <v>1.6342668314506661</v>
      </c>
      <c r="J165" s="80">
        <f t="shared" si="16"/>
        <v>-0.15490195998574319</v>
      </c>
      <c r="K165" s="82">
        <f t="shared" si="17"/>
        <v>2.8999999999999998E-3</v>
      </c>
      <c r="L165" s="80">
        <f t="shared" si="18"/>
        <v>113.69803216151001</v>
      </c>
      <c r="M165" s="83">
        <f t="shared" si="19"/>
        <v>2.0557529481636085</v>
      </c>
      <c r="N165" s="83">
        <f t="shared" si="20"/>
        <v>-2.5376020021010439</v>
      </c>
    </row>
    <row r="166" spans="1:14" ht="18.75" customHeight="1" x14ac:dyDescent="0.3">
      <c r="A166" s="53">
        <v>160</v>
      </c>
      <c r="B166" s="2">
        <v>36767</v>
      </c>
      <c r="C166" s="89" t="s">
        <v>40</v>
      </c>
      <c r="D166" s="8">
        <v>1267</v>
      </c>
      <c r="E166" s="10">
        <v>338</v>
      </c>
      <c r="F166" s="4">
        <v>0.45</v>
      </c>
      <c r="G166" s="3">
        <v>117</v>
      </c>
      <c r="H166" s="80">
        <f t="shared" si="14"/>
        <v>68.915714751027366</v>
      </c>
      <c r="I166" s="81">
        <f t="shared" si="15"/>
        <v>1.8383182647446139</v>
      </c>
      <c r="J166" s="80">
        <f t="shared" si="16"/>
        <v>-0.34678748622465633</v>
      </c>
      <c r="K166" s="82">
        <f t="shared" si="17"/>
        <v>2.0530427747140019E-3</v>
      </c>
      <c r="L166" s="80">
        <f t="shared" si="18"/>
        <v>181.88813983413283</v>
      </c>
      <c r="M166" s="83">
        <f t="shared" si="19"/>
        <v>2.2598043814575566</v>
      </c>
      <c r="N166" s="83">
        <f t="shared" si="20"/>
        <v>-2.6876020021010434</v>
      </c>
    </row>
    <row r="167" spans="1:14" ht="18.75" customHeight="1" x14ac:dyDescent="0.3">
      <c r="A167" s="53">
        <v>161</v>
      </c>
      <c r="B167" s="2">
        <v>36767</v>
      </c>
      <c r="C167" s="89" t="s">
        <v>41</v>
      </c>
      <c r="D167" s="8">
        <v>1531</v>
      </c>
      <c r="E167" s="10">
        <v>338</v>
      </c>
      <c r="F167" s="4">
        <v>0.31</v>
      </c>
      <c r="G167" s="3">
        <v>116</v>
      </c>
      <c r="H167" s="80">
        <f t="shared" si="14"/>
        <v>83.275421692046478</v>
      </c>
      <c r="I167" s="81">
        <f t="shared" si="15"/>
        <v>1.9205168405594337</v>
      </c>
      <c r="J167" s="80">
        <f t="shared" si="16"/>
        <v>-0.50863830616572736</v>
      </c>
      <c r="K167" s="82">
        <f t="shared" si="17"/>
        <v>1.8297762989925629E-3</v>
      </c>
      <c r="L167" s="80">
        <f t="shared" si="18"/>
        <v>219.7874838879695</v>
      </c>
      <c r="M167" s="83">
        <f t="shared" si="19"/>
        <v>2.342002957272376</v>
      </c>
      <c r="N167" s="83">
        <f t="shared" si="20"/>
        <v>-2.7376020021010432</v>
      </c>
    </row>
    <row r="168" spans="1:14" ht="18.75" customHeight="1" x14ac:dyDescent="0.3">
      <c r="A168" s="53">
        <v>162</v>
      </c>
      <c r="B168" s="2">
        <v>36767</v>
      </c>
      <c r="C168" s="89" t="s">
        <v>42</v>
      </c>
      <c r="D168" s="8">
        <v>2112</v>
      </c>
      <c r="E168" s="10">
        <v>338</v>
      </c>
      <c r="F168" s="4">
        <v>0.15</v>
      </c>
      <c r="G168" s="3">
        <v>109</v>
      </c>
      <c r="H168" s="80">
        <f t="shared" si="14"/>
        <v>114.87765552815296</v>
      </c>
      <c r="I168" s="81">
        <f t="shared" si="15"/>
        <v>2.0602355637229475</v>
      </c>
      <c r="J168" s="80">
        <f t="shared" si="16"/>
        <v>-0.82390874094431876</v>
      </c>
      <c r="K168" s="82">
        <f t="shared" si="17"/>
        <v>8.1733105006669257E-4</v>
      </c>
      <c r="L168" s="80">
        <f t="shared" si="18"/>
        <v>303.19475243069337</v>
      </c>
      <c r="M168" s="83">
        <f t="shared" si="19"/>
        <v>2.4817216804358897</v>
      </c>
      <c r="N168" s="83">
        <f t="shared" si="20"/>
        <v>-3.0876020021010433</v>
      </c>
    </row>
    <row r="169" spans="1:14" ht="18.75" customHeight="1" x14ac:dyDescent="0.3">
      <c r="A169" s="53">
        <v>163</v>
      </c>
      <c r="B169" s="2">
        <v>36767</v>
      </c>
      <c r="C169" s="89" t="s">
        <v>43</v>
      </c>
      <c r="D169" s="8">
        <v>2904</v>
      </c>
      <c r="E169" s="10">
        <v>338</v>
      </c>
      <c r="F169" s="4">
        <v>0.11</v>
      </c>
      <c r="G169" s="3">
        <v>106</v>
      </c>
      <c r="H169" s="80">
        <f t="shared" si="14"/>
        <v>157.95677635121032</v>
      </c>
      <c r="I169" s="81">
        <f t="shared" si="15"/>
        <v>2.1985382618892286</v>
      </c>
      <c r="J169" s="80">
        <f t="shared" si="16"/>
        <v>-0.95860731484177497</v>
      </c>
      <c r="K169" s="82">
        <f t="shared" si="17"/>
        <v>5.786260713409755E-4</v>
      </c>
      <c r="L169" s="80">
        <f t="shared" si="18"/>
        <v>416.89278459220338</v>
      </c>
      <c r="M169" s="83">
        <f t="shared" si="19"/>
        <v>2.6200243786021713</v>
      </c>
      <c r="N169" s="83">
        <f t="shared" si="20"/>
        <v>-3.2376020021010437</v>
      </c>
    </row>
    <row r="170" spans="1:14" ht="18.75" customHeight="1" x14ac:dyDescent="0.3">
      <c r="A170" s="53">
        <v>164</v>
      </c>
      <c r="B170" s="2">
        <v>36767</v>
      </c>
      <c r="C170" s="89" t="s">
        <v>46</v>
      </c>
      <c r="D170" s="8">
        <v>3643</v>
      </c>
      <c r="E170" s="10">
        <v>338</v>
      </c>
      <c r="F170" s="4">
        <v>0.08</v>
      </c>
      <c r="G170" s="3">
        <v>106</v>
      </c>
      <c r="H170" s="80">
        <f t="shared" si="14"/>
        <v>198.15307722019944</v>
      </c>
      <c r="I170" s="81">
        <f t="shared" si="15"/>
        <v>2.2970008211030883</v>
      </c>
      <c r="J170" s="80">
        <f t="shared" si="16"/>
        <v>-1.0969100130080565</v>
      </c>
      <c r="K170" s="82">
        <f t="shared" si="17"/>
        <v>5.786260713409755E-4</v>
      </c>
      <c r="L170" s="80">
        <f t="shared" si="18"/>
        <v>522.9822363186629</v>
      </c>
      <c r="M170" s="83">
        <f t="shared" si="19"/>
        <v>2.718486937816031</v>
      </c>
      <c r="N170" s="83">
        <f t="shared" si="20"/>
        <v>-3.2376020021010437</v>
      </c>
    </row>
    <row r="171" spans="1:14" ht="18.75" customHeight="1" x14ac:dyDescent="0.3">
      <c r="A171" s="53">
        <v>165</v>
      </c>
      <c r="B171" s="2">
        <v>36770</v>
      </c>
      <c r="C171" s="89" t="s">
        <v>37</v>
      </c>
      <c r="D171" s="8">
        <v>158</v>
      </c>
      <c r="E171" s="10">
        <v>496.5</v>
      </c>
      <c r="F171" s="4">
        <v>5.08</v>
      </c>
      <c r="G171" s="3">
        <v>133</v>
      </c>
      <c r="H171" s="80">
        <f t="shared" si="14"/>
        <v>7.0908363200701636</v>
      </c>
      <c r="I171" s="81">
        <f t="shared" si="15"/>
        <v>0.85069746053872264</v>
      </c>
      <c r="J171" s="80">
        <f t="shared" si="16"/>
        <v>0.70586371228391931</v>
      </c>
      <c r="K171" s="82">
        <f t="shared" si="17"/>
        <v>1.2953824172377958E-2</v>
      </c>
      <c r="L171" s="80">
        <f t="shared" si="18"/>
        <v>19.953419627206042</v>
      </c>
      <c r="M171" s="83">
        <f t="shared" si="19"/>
        <v>1.3000173360106226</v>
      </c>
      <c r="N171" s="83">
        <f t="shared" si="20"/>
        <v>-1.8876020021010429</v>
      </c>
    </row>
    <row r="172" spans="1:14" ht="18.75" customHeight="1" x14ac:dyDescent="0.3">
      <c r="A172" s="53">
        <v>166</v>
      </c>
      <c r="B172" s="2">
        <v>36770</v>
      </c>
      <c r="C172" s="89" t="s">
        <v>38</v>
      </c>
      <c r="D172" s="8">
        <v>369</v>
      </c>
      <c r="E172" s="10">
        <v>496.5</v>
      </c>
      <c r="F172" s="4">
        <v>2.76</v>
      </c>
      <c r="G172" s="3">
        <v>132</v>
      </c>
      <c r="H172" s="80">
        <f t="shared" si="14"/>
        <v>16.560244317125889</v>
      </c>
      <c r="I172" s="81">
        <f t="shared" si="15"/>
        <v>1.2190667397433603</v>
      </c>
      <c r="J172" s="80">
        <f t="shared" si="16"/>
        <v>0.44090908206521767</v>
      </c>
      <c r="K172" s="82">
        <f t="shared" si="17"/>
        <v>1.1545107946051431E-2</v>
      </c>
      <c r="L172" s="80">
        <f t="shared" si="18"/>
        <v>46.600074952145754</v>
      </c>
      <c r="M172" s="83">
        <f t="shared" si="19"/>
        <v>1.6683866152152604</v>
      </c>
      <c r="N172" s="83">
        <f t="shared" si="20"/>
        <v>-1.9376020021010436</v>
      </c>
    </row>
    <row r="173" spans="1:14" ht="18.75" customHeight="1" x14ac:dyDescent="0.3">
      <c r="A173" s="53">
        <v>167</v>
      </c>
      <c r="B173" s="2">
        <v>36770</v>
      </c>
      <c r="C173" s="89" t="s">
        <v>39</v>
      </c>
      <c r="D173" s="8">
        <v>739</v>
      </c>
      <c r="E173" s="10">
        <v>496.5</v>
      </c>
      <c r="F173" s="4">
        <v>0.77</v>
      </c>
      <c r="G173" s="3">
        <v>123</v>
      </c>
      <c r="H173" s="80">
        <f t="shared" si="14"/>
        <v>33.165367345138293</v>
      </c>
      <c r="I173" s="81">
        <f t="shared" si="15"/>
        <v>1.5206848119791256</v>
      </c>
      <c r="J173" s="80">
        <f t="shared" si="16"/>
        <v>-0.11350927482751812</v>
      </c>
      <c r="K173" s="82">
        <f t="shared" si="17"/>
        <v>4.0963588794059938E-3</v>
      </c>
      <c r="L173" s="80">
        <f t="shared" si="18"/>
        <v>93.326437370286484</v>
      </c>
      <c r="M173" s="83">
        <f t="shared" si="19"/>
        <v>1.9700046874510257</v>
      </c>
      <c r="N173" s="83">
        <f t="shared" si="20"/>
        <v>-2.3876020021010431</v>
      </c>
    </row>
    <row r="174" spans="1:14" ht="18.75" customHeight="1" x14ac:dyDescent="0.3">
      <c r="A174" s="53">
        <v>168</v>
      </c>
      <c r="B174" s="2">
        <v>36770</v>
      </c>
      <c r="C174" s="89" t="s">
        <v>40</v>
      </c>
      <c r="D174" s="8">
        <v>1215</v>
      </c>
      <c r="E174" s="10">
        <v>496.5</v>
      </c>
      <c r="F174" s="4">
        <v>0.45</v>
      </c>
      <c r="G174" s="3">
        <v>120</v>
      </c>
      <c r="H174" s="80">
        <f t="shared" si="14"/>
        <v>54.527633727121824</v>
      </c>
      <c r="I174" s="81">
        <f t="shared" si="15"/>
        <v>1.736616651518631</v>
      </c>
      <c r="J174" s="80">
        <f t="shared" si="16"/>
        <v>-0.34678748622465633</v>
      </c>
      <c r="K174" s="82">
        <f t="shared" si="17"/>
        <v>2.8999999999999998E-3</v>
      </c>
      <c r="L174" s="80">
        <f t="shared" si="18"/>
        <v>153.43927118389456</v>
      </c>
      <c r="M174" s="83">
        <f t="shared" si="19"/>
        <v>2.1859365269905311</v>
      </c>
      <c r="N174" s="83">
        <f t="shared" si="20"/>
        <v>-2.5376020021010439</v>
      </c>
    </row>
    <row r="175" spans="1:14" ht="18.75" customHeight="1" x14ac:dyDescent="0.3">
      <c r="A175" s="53">
        <v>169</v>
      </c>
      <c r="B175" s="2">
        <v>36770</v>
      </c>
      <c r="C175" s="89" t="s">
        <v>41</v>
      </c>
      <c r="D175" s="8">
        <v>1479</v>
      </c>
      <c r="E175" s="10">
        <v>496.5</v>
      </c>
      <c r="F175" s="4">
        <v>0.36</v>
      </c>
      <c r="G175" s="3">
        <v>116</v>
      </c>
      <c r="H175" s="80">
        <f t="shared" si="14"/>
        <v>66.375613401163108</v>
      </c>
      <c r="I175" s="81">
        <f t="shared" si="15"/>
        <v>1.8220085475811925</v>
      </c>
      <c r="J175" s="80">
        <f t="shared" si="16"/>
        <v>-0.44369749923271273</v>
      </c>
      <c r="K175" s="82">
        <f t="shared" si="17"/>
        <v>1.8297762989925629E-3</v>
      </c>
      <c r="L175" s="80">
        <f t="shared" si="18"/>
        <v>186.77916220656795</v>
      </c>
      <c r="M175" s="83">
        <f t="shared" si="19"/>
        <v>2.2713284230530926</v>
      </c>
      <c r="N175" s="83">
        <f t="shared" si="20"/>
        <v>-2.7376020021010432</v>
      </c>
    </row>
    <row r="176" spans="1:14" ht="18.75" customHeight="1" x14ac:dyDescent="0.3">
      <c r="A176" s="53">
        <v>170</v>
      </c>
      <c r="B176" s="2">
        <v>36770</v>
      </c>
      <c r="C176" s="89" t="s">
        <v>42</v>
      </c>
      <c r="D176" s="8">
        <v>2059</v>
      </c>
      <c r="E176" s="10">
        <v>496.5</v>
      </c>
      <c r="F176" s="4">
        <v>0.16</v>
      </c>
      <c r="G176" s="3">
        <v>112</v>
      </c>
      <c r="H176" s="80">
        <f t="shared" si="14"/>
        <v>92.405265715344726</v>
      </c>
      <c r="I176" s="81">
        <f t="shared" si="15"/>
        <v>1.9656967202023314</v>
      </c>
      <c r="J176" s="80">
        <f t="shared" si="16"/>
        <v>-0.79588001734407521</v>
      </c>
      <c r="K176" s="82">
        <f t="shared" si="17"/>
        <v>1.1545107946051418E-3</v>
      </c>
      <c r="L176" s="80">
        <f t="shared" si="18"/>
        <v>260.02589248365342</v>
      </c>
      <c r="M176" s="83">
        <f t="shared" si="19"/>
        <v>2.4150165956742313</v>
      </c>
      <c r="N176" s="83">
        <f t="shared" si="20"/>
        <v>-2.9376020021010438</v>
      </c>
    </row>
    <row r="177" spans="1:14" ht="18.75" customHeight="1" x14ac:dyDescent="0.3">
      <c r="A177" s="53">
        <v>171</v>
      </c>
      <c r="B177" s="2">
        <v>36770</v>
      </c>
      <c r="C177" s="89" t="s">
        <v>43</v>
      </c>
      <c r="D177" s="8">
        <v>2904</v>
      </c>
      <c r="E177" s="10">
        <v>496.5</v>
      </c>
      <c r="F177" s="4">
        <v>0.08</v>
      </c>
      <c r="G177" s="3">
        <v>109</v>
      </c>
      <c r="H177" s="80">
        <f t="shared" si="14"/>
        <v>130.32777641445415</v>
      </c>
      <c r="I177" s="81">
        <f t="shared" si="15"/>
        <v>2.1150369856123561</v>
      </c>
      <c r="J177" s="80">
        <f t="shared" si="16"/>
        <v>-1.0969100130080565</v>
      </c>
      <c r="K177" s="82">
        <f t="shared" si="17"/>
        <v>8.1733105006669257E-4</v>
      </c>
      <c r="L177" s="80">
        <f t="shared" si="18"/>
        <v>366.73880124940723</v>
      </c>
      <c r="M177" s="83">
        <f t="shared" si="19"/>
        <v>2.564356861084256</v>
      </c>
      <c r="N177" s="83">
        <f t="shared" si="20"/>
        <v>-3.0876020021010433</v>
      </c>
    </row>
    <row r="178" spans="1:14" ht="18.75" customHeight="1" x14ac:dyDescent="0.3">
      <c r="A178" s="53">
        <v>172</v>
      </c>
      <c r="B178" s="2">
        <v>36790</v>
      </c>
      <c r="C178" s="89" t="s">
        <v>8</v>
      </c>
      <c r="D178" s="8">
        <v>100</v>
      </c>
      <c r="E178" s="10">
        <v>481.5</v>
      </c>
      <c r="F178" s="4">
        <v>5.04</v>
      </c>
      <c r="G178" s="3">
        <v>138</v>
      </c>
      <c r="H178" s="80">
        <f t="shared" si="14"/>
        <v>4.5572395134977546</v>
      </c>
      <c r="I178" s="81">
        <f t="shared" si="15"/>
        <v>0.65870185426972327</v>
      </c>
      <c r="J178" s="80">
        <f t="shared" si="16"/>
        <v>0.70243053644552533</v>
      </c>
      <c r="K178" s="82">
        <f t="shared" si="17"/>
        <v>2.3035518807004197E-2</v>
      </c>
      <c r="L178" s="80">
        <f t="shared" si="18"/>
        <v>12.758547539464425</v>
      </c>
      <c r="M178" s="83">
        <f t="shared" si="19"/>
        <v>1.1058012361798155</v>
      </c>
      <c r="N178" s="83">
        <f t="shared" si="20"/>
        <v>-1.6376020021010433</v>
      </c>
    </row>
    <row r="179" spans="1:14" ht="18.75" customHeight="1" x14ac:dyDescent="0.3">
      <c r="A179" s="53">
        <v>173</v>
      </c>
      <c r="B179" s="2">
        <v>36790</v>
      </c>
      <c r="C179" s="89" t="s">
        <v>9</v>
      </c>
      <c r="D179" s="8">
        <v>729</v>
      </c>
      <c r="E179" s="10">
        <v>481.5</v>
      </c>
      <c r="F179" s="4">
        <v>0.98</v>
      </c>
      <c r="G179" s="3">
        <v>126</v>
      </c>
      <c r="H179" s="80">
        <f t="shared" si="14"/>
        <v>33.22227605339863</v>
      </c>
      <c r="I179" s="81">
        <f t="shared" si="15"/>
        <v>1.5214293825876979</v>
      </c>
      <c r="J179" s="80">
        <f t="shared" si="16"/>
        <v>-8.7739243075051505E-3</v>
      </c>
      <c r="K179" s="82">
        <f t="shared" si="17"/>
        <v>5.7862607134097519E-3</v>
      </c>
      <c r="L179" s="80">
        <f t="shared" si="18"/>
        <v>93.00981156269566</v>
      </c>
      <c r="M179" s="83">
        <f t="shared" si="19"/>
        <v>1.9685287644977902</v>
      </c>
      <c r="N179" s="83">
        <f t="shared" si="20"/>
        <v>-2.2376020021010437</v>
      </c>
    </row>
    <row r="180" spans="1:14" ht="18.75" customHeight="1" x14ac:dyDescent="0.3">
      <c r="A180" s="53">
        <v>174</v>
      </c>
      <c r="B180" s="2">
        <v>36790</v>
      </c>
      <c r="C180" s="89" t="s">
        <v>10</v>
      </c>
      <c r="D180" s="8">
        <v>980</v>
      </c>
      <c r="E180" s="10">
        <v>481.5</v>
      </c>
      <c r="F180" s="4">
        <v>1.1599999999999999</v>
      </c>
      <c r="G180" s="3">
        <v>122</v>
      </c>
      <c r="H180" s="80">
        <f t="shared" si="14"/>
        <v>44.660947232277998</v>
      </c>
      <c r="I180" s="81">
        <f t="shared" si="15"/>
        <v>1.6499279299622183</v>
      </c>
      <c r="J180" s="80">
        <f t="shared" si="16"/>
        <v>6.445798922691845E-2</v>
      </c>
      <c r="K180" s="82">
        <f t="shared" si="17"/>
        <v>3.6508836942030862E-3</v>
      </c>
      <c r="L180" s="80">
        <f t="shared" si="18"/>
        <v>125.03376588675138</v>
      </c>
      <c r="M180" s="83">
        <f t="shared" si="19"/>
        <v>2.0970273118723104</v>
      </c>
      <c r="N180" s="83">
        <f t="shared" si="20"/>
        <v>-2.4376020021010438</v>
      </c>
    </row>
    <row r="181" spans="1:14" ht="18.75" customHeight="1" x14ac:dyDescent="0.3">
      <c r="A181" s="53">
        <v>175</v>
      </c>
      <c r="B181" s="2">
        <v>36790</v>
      </c>
      <c r="C181" s="89" t="s">
        <v>11</v>
      </c>
      <c r="D181" s="8">
        <v>1214</v>
      </c>
      <c r="E181" s="10">
        <v>481.5</v>
      </c>
      <c r="F181" s="4">
        <v>0.39</v>
      </c>
      <c r="G181" s="3">
        <v>119</v>
      </c>
      <c r="H181" s="80">
        <f t="shared" si="14"/>
        <v>55.324887693862742</v>
      </c>
      <c r="I181" s="81">
        <f t="shared" si="15"/>
        <v>1.7429205410089621</v>
      </c>
      <c r="J181" s="80">
        <f t="shared" si="16"/>
        <v>-0.40893539297350079</v>
      </c>
      <c r="K181" s="82">
        <f t="shared" si="17"/>
        <v>2.5846277205878667E-3</v>
      </c>
      <c r="L181" s="80">
        <f t="shared" si="18"/>
        <v>154.88876712909814</v>
      </c>
      <c r="M181" s="83">
        <f t="shared" si="19"/>
        <v>2.1900199229190545</v>
      </c>
      <c r="N181" s="83">
        <f t="shared" si="20"/>
        <v>-2.5876020021010433</v>
      </c>
    </row>
    <row r="182" spans="1:14" ht="18.75" customHeight="1" x14ac:dyDescent="0.3">
      <c r="A182" s="53">
        <v>176</v>
      </c>
      <c r="B182" s="2">
        <v>36790</v>
      </c>
      <c r="C182" s="89" t="s">
        <v>12</v>
      </c>
      <c r="D182" s="8">
        <v>1478</v>
      </c>
      <c r="E182" s="10">
        <v>481.5</v>
      </c>
      <c r="F182" s="4">
        <v>0.56999999999999995</v>
      </c>
      <c r="G182" s="3">
        <v>117</v>
      </c>
      <c r="H182" s="80">
        <f t="shared" si="14"/>
        <v>67.35600000949681</v>
      </c>
      <c r="I182" s="81">
        <f t="shared" si="15"/>
        <v>1.8283762883285302</v>
      </c>
      <c r="J182" s="80">
        <f t="shared" si="16"/>
        <v>-0.24412514432750865</v>
      </c>
      <c r="K182" s="82">
        <f t="shared" si="17"/>
        <v>2.0530427747140019E-3</v>
      </c>
      <c r="L182" s="80">
        <f t="shared" si="18"/>
        <v>188.57133263328421</v>
      </c>
      <c r="M182" s="83">
        <f t="shared" si="19"/>
        <v>2.2754756702386225</v>
      </c>
      <c r="N182" s="83">
        <f t="shared" si="20"/>
        <v>-2.6876020021010434</v>
      </c>
    </row>
    <row r="183" spans="1:14" ht="18.75" customHeight="1" x14ac:dyDescent="0.3">
      <c r="A183" s="53">
        <v>177</v>
      </c>
      <c r="B183" s="2">
        <v>36790</v>
      </c>
      <c r="C183" s="89" t="s">
        <v>13</v>
      </c>
      <c r="D183" s="8">
        <v>3062</v>
      </c>
      <c r="E183" s="10">
        <v>481.5</v>
      </c>
      <c r="F183" s="4">
        <v>0.06</v>
      </c>
      <c r="G183" s="3">
        <v>106</v>
      </c>
      <c r="H183" s="80">
        <f t="shared" si="14"/>
        <v>139.54267390330125</v>
      </c>
      <c r="I183" s="81">
        <f t="shared" si="15"/>
        <v>2.1447070406319657</v>
      </c>
      <c r="J183" s="80">
        <f t="shared" si="16"/>
        <v>-1.2218487496163564</v>
      </c>
      <c r="K183" s="82">
        <f t="shared" si="17"/>
        <v>5.786260713409755E-4</v>
      </c>
      <c r="L183" s="80">
        <f t="shared" si="18"/>
        <v>390.66672565840071</v>
      </c>
      <c r="M183" s="83">
        <f t="shared" si="19"/>
        <v>2.5918064225420578</v>
      </c>
      <c r="N183" s="83">
        <f t="shared" si="20"/>
        <v>-3.2376020021010437</v>
      </c>
    </row>
    <row r="184" spans="1:14" ht="18.75" customHeight="1" x14ac:dyDescent="0.3">
      <c r="A184" s="53">
        <v>178</v>
      </c>
      <c r="B184" s="2">
        <v>36790</v>
      </c>
      <c r="C184" s="89" t="s">
        <v>14</v>
      </c>
      <c r="D184" s="8">
        <v>3332</v>
      </c>
      <c r="E184" s="10">
        <v>481.5</v>
      </c>
      <c r="F184" s="4">
        <v>0.03</v>
      </c>
      <c r="G184" s="3">
        <v>123</v>
      </c>
      <c r="H184" s="80">
        <f t="shared" si="14"/>
        <v>151.84722058974521</v>
      </c>
      <c r="I184" s="81">
        <f t="shared" si="15"/>
        <v>2.1814068470044732</v>
      </c>
      <c r="J184" s="80">
        <f t="shared" si="16"/>
        <v>-1.5228787452803376</v>
      </c>
      <c r="K184" s="82">
        <f t="shared" si="17"/>
        <v>4.0963588794059938E-3</v>
      </c>
      <c r="L184" s="80">
        <f t="shared" si="18"/>
        <v>425.1148040149547</v>
      </c>
      <c r="M184" s="83">
        <f t="shared" si="19"/>
        <v>2.6285062289145658</v>
      </c>
      <c r="N184" s="83">
        <f t="shared" si="20"/>
        <v>-2.3876020021010431</v>
      </c>
    </row>
    <row r="185" spans="1:14" ht="18.75" customHeight="1" x14ac:dyDescent="0.3">
      <c r="A185" s="53">
        <v>179</v>
      </c>
      <c r="B185" s="2">
        <v>36785</v>
      </c>
      <c r="C185" s="89" t="s">
        <v>9</v>
      </c>
      <c r="D185" s="8">
        <v>255</v>
      </c>
      <c r="E185" s="10">
        <v>375.5</v>
      </c>
      <c r="F185" s="4">
        <v>1.8</v>
      </c>
      <c r="G185" s="3">
        <v>131</v>
      </c>
      <c r="H185" s="80">
        <f t="shared" si="14"/>
        <v>13.159373383873252</v>
      </c>
      <c r="I185" s="81">
        <f t="shared" si="15"/>
        <v>1.1192352097638616</v>
      </c>
      <c r="J185" s="80">
        <f t="shared" si="16"/>
        <v>0.25527250510330607</v>
      </c>
      <c r="K185" s="82">
        <f t="shared" si="17"/>
        <v>1.0289588287773703E-2</v>
      </c>
      <c r="L185" s="80">
        <f t="shared" si="18"/>
        <v>35.345722758471496</v>
      </c>
      <c r="M185" s="83">
        <f t="shared" si="19"/>
        <v>1.5483368666538928</v>
      </c>
      <c r="N185" s="83">
        <f t="shared" si="20"/>
        <v>-1.9876020021010432</v>
      </c>
    </row>
    <row r="186" spans="1:14" ht="18.75" customHeight="1" x14ac:dyDescent="0.3">
      <c r="A186" s="53">
        <v>180</v>
      </c>
      <c r="B186" s="2">
        <v>36785</v>
      </c>
      <c r="C186" s="89" t="s">
        <v>10</v>
      </c>
      <c r="D186" s="8">
        <v>528</v>
      </c>
      <c r="E186" s="10">
        <v>375.5</v>
      </c>
      <c r="F186" s="4">
        <v>1.64</v>
      </c>
      <c r="G186" s="3">
        <v>124</v>
      </c>
      <c r="H186" s="80">
        <f t="shared" si="14"/>
        <v>27.2476437124905</v>
      </c>
      <c r="I186" s="81">
        <f t="shared" si="15"/>
        <v>1.4353289518637187</v>
      </c>
      <c r="J186" s="80">
        <f t="shared" si="16"/>
        <v>0.21484384804769785</v>
      </c>
      <c r="K186" s="82">
        <f t="shared" si="17"/>
        <v>4.5961902581372347E-3</v>
      </c>
      <c r="L186" s="80">
        <f t="shared" si="18"/>
        <v>73.186437711658627</v>
      </c>
      <c r="M186" s="83">
        <f t="shared" si="19"/>
        <v>1.8644306087537499</v>
      </c>
      <c r="N186" s="83">
        <f t="shared" si="20"/>
        <v>-2.3376020021010433</v>
      </c>
    </row>
    <row r="187" spans="1:14" ht="18.75" customHeight="1" x14ac:dyDescent="0.3">
      <c r="A187" s="53">
        <v>181</v>
      </c>
      <c r="B187" s="2">
        <v>36785</v>
      </c>
      <c r="C187" s="89" t="s">
        <v>11</v>
      </c>
      <c r="D187" s="8">
        <v>899</v>
      </c>
      <c r="E187" s="10">
        <v>375.5</v>
      </c>
      <c r="F187" s="4">
        <v>0.56000000000000005</v>
      </c>
      <c r="G187" s="3">
        <v>119</v>
      </c>
      <c r="H187" s="80">
        <f t="shared" si="14"/>
        <v>46.393241851380601</v>
      </c>
      <c r="I187" s="81">
        <f t="shared" si="15"/>
        <v>1.6664547210631351</v>
      </c>
      <c r="J187" s="80">
        <f t="shared" si="16"/>
        <v>-0.25181197299379954</v>
      </c>
      <c r="K187" s="82">
        <f t="shared" si="17"/>
        <v>2.5846277205878667E-3</v>
      </c>
      <c r="L187" s="80">
        <f t="shared" si="18"/>
        <v>124.61099905829757</v>
      </c>
      <c r="M187" s="83">
        <f t="shared" si="19"/>
        <v>2.0955563779531663</v>
      </c>
      <c r="N187" s="83">
        <f t="shared" si="20"/>
        <v>-2.5876020021010433</v>
      </c>
    </row>
    <row r="188" spans="1:14" ht="18.75" customHeight="1" x14ac:dyDescent="0.3">
      <c r="A188" s="53">
        <v>182</v>
      </c>
      <c r="B188" s="2">
        <v>36785</v>
      </c>
      <c r="C188" s="89" t="s">
        <v>12</v>
      </c>
      <c r="D188" s="8">
        <v>1162</v>
      </c>
      <c r="E188" s="10">
        <v>375.5</v>
      </c>
      <c r="F188" s="4">
        <v>0.6</v>
      </c>
      <c r="G188" s="3">
        <v>117</v>
      </c>
      <c r="H188" s="80">
        <f t="shared" si="14"/>
        <v>59.965458321806743</v>
      </c>
      <c r="I188" s="81">
        <f t="shared" si="15"/>
        <v>1.7779011573842183</v>
      </c>
      <c r="J188" s="80">
        <f t="shared" si="16"/>
        <v>-0.22184874961635639</v>
      </c>
      <c r="K188" s="82">
        <f t="shared" si="17"/>
        <v>2.0530427747140019E-3</v>
      </c>
      <c r="L188" s="80">
        <f t="shared" si="18"/>
        <v>161.06560723664268</v>
      </c>
      <c r="M188" s="83">
        <f t="shared" si="19"/>
        <v>2.2070028142742495</v>
      </c>
      <c r="N188" s="83">
        <f t="shared" si="20"/>
        <v>-2.6876020021010434</v>
      </c>
    </row>
    <row r="189" spans="1:14" ht="18.75" customHeight="1" x14ac:dyDescent="0.3">
      <c r="A189" s="53">
        <v>183</v>
      </c>
      <c r="B189" s="2">
        <v>36785</v>
      </c>
      <c r="C189" s="89" t="s">
        <v>13</v>
      </c>
      <c r="D189" s="8">
        <v>2791</v>
      </c>
      <c r="E189" s="10">
        <v>375.5</v>
      </c>
      <c r="F189" s="4">
        <v>0.05</v>
      </c>
      <c r="G189" s="3">
        <v>109</v>
      </c>
      <c r="H189" s="80">
        <f t="shared" si="14"/>
        <v>144.03063182113823</v>
      </c>
      <c r="I189" s="81">
        <f t="shared" si="15"/>
        <v>2.1584548658185376</v>
      </c>
      <c r="J189" s="80">
        <f t="shared" si="16"/>
        <v>-1.3010299956639813</v>
      </c>
      <c r="K189" s="82">
        <f t="shared" si="17"/>
        <v>8.1733105006669257E-4</v>
      </c>
      <c r="L189" s="80">
        <f t="shared" si="18"/>
        <v>386.86240085840768</v>
      </c>
      <c r="M189" s="83">
        <f t="shared" si="19"/>
        <v>2.5875565227085686</v>
      </c>
      <c r="N189" s="83">
        <f t="shared" si="20"/>
        <v>-3.0876020021010433</v>
      </c>
    </row>
    <row r="190" spans="1:14" ht="18.75" customHeight="1" x14ac:dyDescent="0.3">
      <c r="A190" s="53">
        <v>184</v>
      </c>
      <c r="B190" s="2">
        <v>36785</v>
      </c>
      <c r="C190" s="89" t="s">
        <v>14</v>
      </c>
      <c r="D190" s="8">
        <v>3274</v>
      </c>
      <c r="E190" s="10">
        <v>375.5</v>
      </c>
      <c r="F190" s="4">
        <v>0.03</v>
      </c>
      <c r="G190" s="3">
        <v>106</v>
      </c>
      <c r="H190" s="80">
        <f t="shared" si="14"/>
        <v>168.95603317176872</v>
      </c>
      <c r="I190" s="81">
        <f t="shared" si="15"/>
        <v>2.2277737044058292</v>
      </c>
      <c r="J190" s="80">
        <f t="shared" si="16"/>
        <v>-1.5228787452803376</v>
      </c>
      <c r="K190" s="82">
        <f t="shared" si="17"/>
        <v>5.786260713409755E-4</v>
      </c>
      <c r="L190" s="80">
        <f t="shared" si="18"/>
        <v>453.81135808327718</v>
      </c>
      <c r="M190" s="83">
        <f t="shared" si="19"/>
        <v>2.6568753612958602</v>
      </c>
      <c r="N190" s="83">
        <f t="shared" si="20"/>
        <v>-3.2376020021010437</v>
      </c>
    </row>
    <row r="191" spans="1:14" ht="18.75" customHeight="1" x14ac:dyDescent="0.3">
      <c r="A191" s="53">
        <v>185</v>
      </c>
      <c r="B191" s="2"/>
      <c r="C191" s="89"/>
      <c r="D191" s="8"/>
      <c r="E191" s="10"/>
      <c r="F191" s="4"/>
      <c r="G191" s="84"/>
      <c r="H191" s="80" t="e">
        <f t="shared" si="14"/>
        <v>#N/A</v>
      </c>
      <c r="I191" s="81" t="e">
        <f t="shared" si="15"/>
        <v>#N/A</v>
      </c>
      <c r="J191" s="80" t="e">
        <f t="shared" si="16"/>
        <v>#N/A</v>
      </c>
      <c r="K191" s="82" t="e">
        <f t="shared" si="17"/>
        <v>#N/A</v>
      </c>
      <c r="L191" s="80" t="e">
        <f t="shared" si="18"/>
        <v>#N/A</v>
      </c>
      <c r="M191" s="83" t="e">
        <f t="shared" si="19"/>
        <v>#N/A</v>
      </c>
      <c r="N191" s="83" t="e">
        <f t="shared" si="20"/>
        <v>#N/A</v>
      </c>
    </row>
    <row r="192" spans="1:14" ht="18.75" customHeight="1" x14ac:dyDescent="0.3">
      <c r="A192" s="53">
        <v>186</v>
      </c>
      <c r="B192" s="2"/>
      <c r="C192" s="89"/>
      <c r="D192" s="8"/>
      <c r="E192" s="10"/>
      <c r="F192" s="4"/>
      <c r="G192" s="84"/>
      <c r="H192" s="80" t="e">
        <f t="shared" si="14"/>
        <v>#N/A</v>
      </c>
      <c r="I192" s="81" t="e">
        <f t="shared" si="15"/>
        <v>#N/A</v>
      </c>
      <c r="J192" s="80" t="e">
        <f t="shared" si="16"/>
        <v>#N/A</v>
      </c>
      <c r="K192" s="82" t="e">
        <f t="shared" si="17"/>
        <v>#N/A</v>
      </c>
      <c r="L192" s="80" t="e">
        <f t="shared" si="18"/>
        <v>#N/A</v>
      </c>
      <c r="M192" s="83" t="e">
        <f t="shared" si="19"/>
        <v>#N/A</v>
      </c>
      <c r="N192" s="83" t="e">
        <f t="shared" si="20"/>
        <v>#N/A</v>
      </c>
    </row>
    <row r="193" spans="1:14" ht="18.75" customHeight="1" x14ac:dyDescent="0.3">
      <c r="A193" s="53">
        <v>187</v>
      </c>
      <c r="B193" s="2"/>
      <c r="C193" s="89"/>
      <c r="D193" s="8"/>
      <c r="E193" s="10"/>
      <c r="F193" s="4"/>
      <c r="G193" s="84"/>
      <c r="H193" s="80" t="e">
        <f t="shared" si="14"/>
        <v>#N/A</v>
      </c>
      <c r="I193" s="81" t="e">
        <f t="shared" si="15"/>
        <v>#N/A</v>
      </c>
      <c r="J193" s="80" t="e">
        <f t="shared" si="16"/>
        <v>#N/A</v>
      </c>
      <c r="K193" s="82" t="e">
        <f t="shared" si="17"/>
        <v>#N/A</v>
      </c>
      <c r="L193" s="80" t="e">
        <f t="shared" si="18"/>
        <v>#N/A</v>
      </c>
      <c r="M193" s="83" t="e">
        <f t="shared" si="19"/>
        <v>#N/A</v>
      </c>
      <c r="N193" s="83" t="e">
        <f t="shared" si="20"/>
        <v>#N/A</v>
      </c>
    </row>
    <row r="194" spans="1:14" ht="18.75" customHeight="1" x14ac:dyDescent="0.3">
      <c r="A194" s="53">
        <v>188</v>
      </c>
      <c r="B194" s="2"/>
      <c r="C194" s="89"/>
      <c r="D194" s="8"/>
      <c r="E194" s="10"/>
      <c r="F194" s="4"/>
      <c r="G194" s="84"/>
      <c r="H194" s="80" t="e">
        <f t="shared" si="14"/>
        <v>#N/A</v>
      </c>
      <c r="I194" s="81" t="e">
        <f t="shared" si="15"/>
        <v>#N/A</v>
      </c>
      <c r="J194" s="80" t="e">
        <f t="shared" si="16"/>
        <v>#N/A</v>
      </c>
      <c r="K194" s="82" t="e">
        <f t="shared" si="17"/>
        <v>#N/A</v>
      </c>
      <c r="L194" s="80" t="e">
        <f t="shared" si="18"/>
        <v>#N/A</v>
      </c>
      <c r="M194" s="83" t="e">
        <f t="shared" si="19"/>
        <v>#N/A</v>
      </c>
      <c r="N194" s="83" t="e">
        <f t="shared" si="20"/>
        <v>#N/A</v>
      </c>
    </row>
    <row r="195" spans="1:14" ht="18.75" customHeight="1" x14ac:dyDescent="0.3">
      <c r="A195" s="53">
        <v>189</v>
      </c>
      <c r="B195" s="2"/>
      <c r="C195" s="89"/>
      <c r="D195" s="8"/>
      <c r="E195" s="10"/>
      <c r="F195" s="4"/>
      <c r="G195" s="84"/>
      <c r="H195" s="80" t="e">
        <f t="shared" si="14"/>
        <v>#N/A</v>
      </c>
      <c r="I195" s="81" t="e">
        <f t="shared" si="15"/>
        <v>#N/A</v>
      </c>
      <c r="J195" s="80" t="e">
        <f t="shared" si="16"/>
        <v>#N/A</v>
      </c>
      <c r="K195" s="82" t="e">
        <f t="shared" si="17"/>
        <v>#N/A</v>
      </c>
      <c r="L195" s="80" t="e">
        <f t="shared" si="18"/>
        <v>#N/A</v>
      </c>
      <c r="M195" s="83" t="e">
        <f t="shared" si="19"/>
        <v>#N/A</v>
      </c>
      <c r="N195" s="83" t="e">
        <f t="shared" si="20"/>
        <v>#N/A</v>
      </c>
    </row>
    <row r="196" spans="1:14" ht="18.75" customHeight="1" x14ac:dyDescent="0.3">
      <c r="A196" s="53">
        <v>190</v>
      </c>
      <c r="B196" s="2"/>
      <c r="C196" s="89"/>
      <c r="D196" s="8"/>
      <c r="E196" s="10"/>
      <c r="F196" s="4"/>
      <c r="G196" s="84"/>
      <c r="H196" s="80" t="e">
        <f t="shared" si="14"/>
        <v>#N/A</v>
      </c>
      <c r="I196" s="81" t="e">
        <f t="shared" si="15"/>
        <v>#N/A</v>
      </c>
      <c r="J196" s="80" t="e">
        <f t="shared" si="16"/>
        <v>#N/A</v>
      </c>
      <c r="K196" s="82" t="e">
        <f t="shared" si="17"/>
        <v>#N/A</v>
      </c>
      <c r="L196" s="80" t="e">
        <f t="shared" si="18"/>
        <v>#N/A</v>
      </c>
      <c r="M196" s="83" t="e">
        <f t="shared" si="19"/>
        <v>#N/A</v>
      </c>
      <c r="N196" s="83" t="e">
        <f t="shared" si="20"/>
        <v>#N/A</v>
      </c>
    </row>
    <row r="197" spans="1:14" ht="18.75" customHeight="1" x14ac:dyDescent="0.3">
      <c r="A197" s="53">
        <v>191</v>
      </c>
      <c r="B197" s="2"/>
      <c r="C197" s="89"/>
      <c r="D197" s="8"/>
      <c r="E197" s="10"/>
      <c r="F197" s="4"/>
      <c r="G197" s="84"/>
      <c r="H197" s="80" t="e">
        <f t="shared" si="14"/>
        <v>#N/A</v>
      </c>
      <c r="I197" s="81" t="e">
        <f t="shared" si="15"/>
        <v>#N/A</v>
      </c>
      <c r="J197" s="80" t="e">
        <f t="shared" si="16"/>
        <v>#N/A</v>
      </c>
      <c r="K197" s="82" t="e">
        <f t="shared" si="17"/>
        <v>#N/A</v>
      </c>
      <c r="L197" s="80" t="e">
        <f t="shared" si="18"/>
        <v>#N/A</v>
      </c>
      <c r="M197" s="83" t="e">
        <f t="shared" si="19"/>
        <v>#N/A</v>
      </c>
      <c r="N197" s="83" t="e">
        <f t="shared" si="20"/>
        <v>#N/A</v>
      </c>
    </row>
    <row r="198" spans="1:14" ht="18.75" customHeight="1" x14ac:dyDescent="0.3">
      <c r="A198" s="53">
        <v>192</v>
      </c>
      <c r="B198" s="2"/>
      <c r="C198" s="89"/>
      <c r="D198" s="8"/>
      <c r="E198" s="10"/>
      <c r="F198" s="4"/>
      <c r="G198" s="84"/>
      <c r="H198" s="80" t="e">
        <f t="shared" si="14"/>
        <v>#N/A</v>
      </c>
      <c r="I198" s="81" t="e">
        <f t="shared" si="15"/>
        <v>#N/A</v>
      </c>
      <c r="J198" s="80" t="e">
        <f t="shared" si="16"/>
        <v>#N/A</v>
      </c>
      <c r="K198" s="82" t="e">
        <f t="shared" si="17"/>
        <v>#N/A</v>
      </c>
      <c r="L198" s="80" t="e">
        <f t="shared" si="18"/>
        <v>#N/A</v>
      </c>
      <c r="M198" s="83" t="e">
        <f t="shared" si="19"/>
        <v>#N/A</v>
      </c>
      <c r="N198" s="83" t="e">
        <f t="shared" si="20"/>
        <v>#N/A</v>
      </c>
    </row>
    <row r="199" spans="1:14" ht="18.75" customHeight="1" x14ac:dyDescent="0.3">
      <c r="A199" s="53">
        <v>193</v>
      </c>
      <c r="B199" s="2"/>
      <c r="C199" s="89"/>
      <c r="D199" s="8"/>
      <c r="E199" s="10"/>
      <c r="F199" s="4"/>
      <c r="G199" s="84"/>
      <c r="H199" s="80" t="e">
        <f t="shared" si="14"/>
        <v>#N/A</v>
      </c>
      <c r="I199" s="81" t="e">
        <f t="shared" si="15"/>
        <v>#N/A</v>
      </c>
      <c r="J199" s="80" t="e">
        <f t="shared" si="16"/>
        <v>#N/A</v>
      </c>
      <c r="K199" s="82" t="e">
        <f t="shared" si="17"/>
        <v>#N/A</v>
      </c>
      <c r="L199" s="80" t="e">
        <f t="shared" si="18"/>
        <v>#N/A</v>
      </c>
      <c r="M199" s="83" t="e">
        <f t="shared" si="19"/>
        <v>#N/A</v>
      </c>
      <c r="N199" s="83" t="e">
        <f t="shared" si="20"/>
        <v>#N/A</v>
      </c>
    </row>
    <row r="200" spans="1:14" ht="18.75" customHeight="1" x14ac:dyDescent="0.3">
      <c r="A200" s="53">
        <v>194</v>
      </c>
      <c r="B200" s="2"/>
      <c r="C200" s="89"/>
      <c r="D200" s="8"/>
      <c r="E200" s="10"/>
      <c r="F200" s="4"/>
      <c r="G200" s="84"/>
      <c r="H200" s="80" t="e">
        <f t="shared" ref="H200:H226" si="21">IF(OR(D200="",E200="",D200=0,E200=0),NA(),D200/(E200^0.5))</f>
        <v>#N/A</v>
      </c>
      <c r="I200" s="81" t="e">
        <f t="shared" ref="I200:I226" si="22">IFERROR(LOG(H200),NA())</f>
        <v>#N/A</v>
      </c>
      <c r="J200" s="80" t="e">
        <f t="shared" ref="J200:J226" si="23">IFERROR(LOG(F200),NA())</f>
        <v>#N/A</v>
      </c>
      <c r="K200" s="82" t="e">
        <f t="shared" ref="K200:K226" si="24">IF(OR(G200=0,G200=""),NA(),(10^(G200/20))*0.0000000029)</f>
        <v>#N/A</v>
      </c>
      <c r="L200" s="80" t="e">
        <f t="shared" ref="L200:L226" si="25">IF(OR(D200="",D200=0,E200="",E200=0),NA(),D200/(E200^(1/3)))</f>
        <v>#N/A</v>
      </c>
      <c r="M200" s="83" t="e">
        <f t="shared" ref="M200:M226" si="26">IFERROR(LOG(L200),NA())</f>
        <v>#N/A</v>
      </c>
      <c r="N200" s="83" t="e">
        <f t="shared" ref="N200:N226" si="27">IFERROR(LOG(K200),NA())</f>
        <v>#N/A</v>
      </c>
    </row>
    <row r="201" spans="1:14" ht="18.75" customHeight="1" x14ac:dyDescent="0.3">
      <c r="A201" s="53">
        <v>195</v>
      </c>
      <c r="B201" s="2"/>
      <c r="C201" s="89"/>
      <c r="D201" s="8"/>
      <c r="E201" s="10"/>
      <c r="F201" s="4"/>
      <c r="G201" s="84"/>
      <c r="H201" s="80" t="e">
        <f t="shared" si="21"/>
        <v>#N/A</v>
      </c>
      <c r="I201" s="81" t="e">
        <f t="shared" si="22"/>
        <v>#N/A</v>
      </c>
      <c r="J201" s="80" t="e">
        <f t="shared" si="23"/>
        <v>#N/A</v>
      </c>
      <c r="K201" s="82" t="e">
        <f t="shared" si="24"/>
        <v>#N/A</v>
      </c>
      <c r="L201" s="80" t="e">
        <f t="shared" si="25"/>
        <v>#N/A</v>
      </c>
      <c r="M201" s="83" t="e">
        <f t="shared" si="26"/>
        <v>#N/A</v>
      </c>
      <c r="N201" s="83" t="e">
        <f t="shared" si="27"/>
        <v>#N/A</v>
      </c>
    </row>
    <row r="202" spans="1:14" ht="18.75" customHeight="1" x14ac:dyDescent="0.3">
      <c r="A202" s="53">
        <v>196</v>
      </c>
      <c r="B202" s="2"/>
      <c r="C202" s="89"/>
      <c r="D202" s="8"/>
      <c r="E202" s="10"/>
      <c r="F202" s="4"/>
      <c r="G202" s="84"/>
      <c r="H202" s="80" t="e">
        <f t="shared" si="21"/>
        <v>#N/A</v>
      </c>
      <c r="I202" s="81" t="e">
        <f t="shared" si="22"/>
        <v>#N/A</v>
      </c>
      <c r="J202" s="80" t="e">
        <f t="shared" si="23"/>
        <v>#N/A</v>
      </c>
      <c r="K202" s="82" t="e">
        <f t="shared" si="24"/>
        <v>#N/A</v>
      </c>
      <c r="L202" s="80" t="e">
        <f t="shared" si="25"/>
        <v>#N/A</v>
      </c>
      <c r="M202" s="83" t="e">
        <f t="shared" si="26"/>
        <v>#N/A</v>
      </c>
      <c r="N202" s="83" t="e">
        <f t="shared" si="27"/>
        <v>#N/A</v>
      </c>
    </row>
    <row r="203" spans="1:14" ht="18.75" customHeight="1" x14ac:dyDescent="0.3">
      <c r="A203" s="53">
        <v>197</v>
      </c>
      <c r="B203" s="2"/>
      <c r="C203" s="89"/>
      <c r="D203" s="8"/>
      <c r="E203" s="10"/>
      <c r="F203" s="4"/>
      <c r="G203" s="84"/>
      <c r="H203" s="80" t="e">
        <f t="shared" si="21"/>
        <v>#N/A</v>
      </c>
      <c r="I203" s="81" t="e">
        <f t="shared" si="22"/>
        <v>#N/A</v>
      </c>
      <c r="J203" s="80" t="e">
        <f t="shared" si="23"/>
        <v>#N/A</v>
      </c>
      <c r="K203" s="82" t="e">
        <f t="shared" si="24"/>
        <v>#N/A</v>
      </c>
      <c r="L203" s="80" t="e">
        <f t="shared" si="25"/>
        <v>#N/A</v>
      </c>
      <c r="M203" s="83" t="e">
        <f t="shared" si="26"/>
        <v>#N/A</v>
      </c>
      <c r="N203" s="83" t="e">
        <f t="shared" si="27"/>
        <v>#N/A</v>
      </c>
    </row>
    <row r="204" spans="1:14" ht="18.75" customHeight="1" x14ac:dyDescent="0.3">
      <c r="A204" s="53">
        <v>198</v>
      </c>
      <c r="B204" s="2"/>
      <c r="C204" s="89"/>
      <c r="D204" s="8"/>
      <c r="E204" s="10"/>
      <c r="F204" s="4"/>
      <c r="G204" s="84"/>
      <c r="H204" s="80" t="e">
        <f t="shared" si="21"/>
        <v>#N/A</v>
      </c>
      <c r="I204" s="81" t="e">
        <f t="shared" si="22"/>
        <v>#N/A</v>
      </c>
      <c r="J204" s="80" t="e">
        <f t="shared" si="23"/>
        <v>#N/A</v>
      </c>
      <c r="K204" s="82" t="e">
        <f t="shared" si="24"/>
        <v>#N/A</v>
      </c>
      <c r="L204" s="80" t="e">
        <f t="shared" si="25"/>
        <v>#N/A</v>
      </c>
      <c r="M204" s="83" t="e">
        <f t="shared" si="26"/>
        <v>#N/A</v>
      </c>
      <c r="N204" s="83" t="e">
        <f t="shared" si="27"/>
        <v>#N/A</v>
      </c>
    </row>
    <row r="205" spans="1:14" ht="18.75" customHeight="1" x14ac:dyDescent="0.3">
      <c r="A205" s="53">
        <v>199</v>
      </c>
      <c r="B205" s="2"/>
      <c r="C205" s="89"/>
      <c r="D205" s="8"/>
      <c r="E205" s="10"/>
      <c r="F205" s="4"/>
      <c r="G205" s="84"/>
      <c r="H205" s="80" t="e">
        <f t="shared" si="21"/>
        <v>#N/A</v>
      </c>
      <c r="I205" s="81" t="e">
        <f t="shared" si="22"/>
        <v>#N/A</v>
      </c>
      <c r="J205" s="80" t="e">
        <f t="shared" si="23"/>
        <v>#N/A</v>
      </c>
      <c r="K205" s="82" t="e">
        <f t="shared" si="24"/>
        <v>#N/A</v>
      </c>
      <c r="L205" s="80" t="e">
        <f t="shared" si="25"/>
        <v>#N/A</v>
      </c>
      <c r="M205" s="83" t="e">
        <f t="shared" si="26"/>
        <v>#N/A</v>
      </c>
      <c r="N205" s="83" t="e">
        <f t="shared" si="27"/>
        <v>#N/A</v>
      </c>
    </row>
    <row r="206" spans="1:14" ht="18.75" customHeight="1" x14ac:dyDescent="0.3">
      <c r="A206" s="53">
        <v>200</v>
      </c>
      <c r="B206" s="2"/>
      <c r="C206" s="89"/>
      <c r="D206" s="8"/>
      <c r="E206" s="10"/>
      <c r="F206" s="4"/>
      <c r="G206" s="84"/>
      <c r="H206" s="80" t="e">
        <f t="shared" si="21"/>
        <v>#N/A</v>
      </c>
      <c r="I206" s="81" t="e">
        <f t="shared" si="22"/>
        <v>#N/A</v>
      </c>
      <c r="J206" s="80" t="e">
        <f t="shared" si="23"/>
        <v>#N/A</v>
      </c>
      <c r="K206" s="82" t="e">
        <f t="shared" si="24"/>
        <v>#N/A</v>
      </c>
      <c r="L206" s="80" t="e">
        <f t="shared" si="25"/>
        <v>#N/A</v>
      </c>
      <c r="M206" s="83" t="e">
        <f t="shared" si="26"/>
        <v>#N/A</v>
      </c>
      <c r="N206" s="83" t="e">
        <f t="shared" si="27"/>
        <v>#N/A</v>
      </c>
    </row>
    <row r="207" spans="1:14" ht="18.75" customHeight="1" x14ac:dyDescent="0.3">
      <c r="A207" s="53">
        <v>201</v>
      </c>
      <c r="B207" s="88"/>
      <c r="C207" s="91"/>
      <c r="D207" s="85"/>
      <c r="E207" s="86"/>
      <c r="F207" s="87"/>
      <c r="G207" s="84"/>
      <c r="H207" s="80" t="e">
        <f t="shared" si="21"/>
        <v>#N/A</v>
      </c>
      <c r="I207" s="81" t="e">
        <f t="shared" si="22"/>
        <v>#N/A</v>
      </c>
      <c r="J207" s="80" t="e">
        <f t="shared" si="23"/>
        <v>#N/A</v>
      </c>
      <c r="K207" s="82" t="e">
        <f t="shared" si="24"/>
        <v>#N/A</v>
      </c>
      <c r="L207" s="80" t="e">
        <f t="shared" si="25"/>
        <v>#N/A</v>
      </c>
      <c r="M207" s="83" t="e">
        <f t="shared" si="26"/>
        <v>#N/A</v>
      </c>
      <c r="N207" s="83" t="e">
        <f t="shared" si="27"/>
        <v>#N/A</v>
      </c>
    </row>
    <row r="208" spans="1:14" ht="18.75" customHeight="1" x14ac:dyDescent="0.3">
      <c r="A208" s="53">
        <v>202</v>
      </c>
      <c r="B208" s="88"/>
      <c r="C208" s="91"/>
      <c r="D208" s="85"/>
      <c r="E208" s="86"/>
      <c r="F208" s="87"/>
      <c r="G208" s="84"/>
      <c r="H208" s="80" t="e">
        <f t="shared" si="21"/>
        <v>#N/A</v>
      </c>
      <c r="I208" s="81" t="e">
        <f t="shared" si="22"/>
        <v>#N/A</v>
      </c>
      <c r="J208" s="80" t="e">
        <f t="shared" si="23"/>
        <v>#N/A</v>
      </c>
      <c r="K208" s="82" t="e">
        <f t="shared" si="24"/>
        <v>#N/A</v>
      </c>
      <c r="L208" s="80" t="e">
        <f t="shared" si="25"/>
        <v>#N/A</v>
      </c>
      <c r="M208" s="83" t="e">
        <f t="shared" si="26"/>
        <v>#N/A</v>
      </c>
      <c r="N208" s="83" t="e">
        <f t="shared" si="27"/>
        <v>#N/A</v>
      </c>
    </row>
    <row r="209" spans="1:14" ht="18.75" customHeight="1" x14ac:dyDescent="0.3">
      <c r="A209" s="53">
        <v>203</v>
      </c>
      <c r="B209" s="88"/>
      <c r="C209" s="91"/>
      <c r="D209" s="85"/>
      <c r="E209" s="86"/>
      <c r="F209" s="87"/>
      <c r="G209" s="84"/>
      <c r="H209" s="80" t="e">
        <f t="shared" si="21"/>
        <v>#N/A</v>
      </c>
      <c r="I209" s="81" t="e">
        <f t="shared" si="22"/>
        <v>#N/A</v>
      </c>
      <c r="J209" s="80" t="e">
        <f t="shared" si="23"/>
        <v>#N/A</v>
      </c>
      <c r="K209" s="82" t="e">
        <f t="shared" si="24"/>
        <v>#N/A</v>
      </c>
      <c r="L209" s="80" t="e">
        <f t="shared" si="25"/>
        <v>#N/A</v>
      </c>
      <c r="M209" s="83" t="e">
        <f t="shared" si="26"/>
        <v>#N/A</v>
      </c>
      <c r="N209" s="83" t="e">
        <f t="shared" si="27"/>
        <v>#N/A</v>
      </c>
    </row>
    <row r="210" spans="1:14" ht="18.75" customHeight="1" x14ac:dyDescent="0.3">
      <c r="A210" s="53">
        <v>204</v>
      </c>
      <c r="B210" s="88"/>
      <c r="C210" s="91"/>
      <c r="D210" s="85"/>
      <c r="E210" s="86"/>
      <c r="F210" s="87"/>
      <c r="G210" s="84"/>
      <c r="H210" s="80" t="e">
        <f t="shared" si="21"/>
        <v>#N/A</v>
      </c>
      <c r="I210" s="81" t="e">
        <f t="shared" si="22"/>
        <v>#N/A</v>
      </c>
      <c r="J210" s="80" t="e">
        <f t="shared" si="23"/>
        <v>#N/A</v>
      </c>
      <c r="K210" s="82" t="e">
        <f t="shared" si="24"/>
        <v>#N/A</v>
      </c>
      <c r="L210" s="80" t="e">
        <f t="shared" si="25"/>
        <v>#N/A</v>
      </c>
      <c r="M210" s="83" t="e">
        <f t="shared" si="26"/>
        <v>#N/A</v>
      </c>
      <c r="N210" s="83" t="e">
        <f t="shared" si="27"/>
        <v>#N/A</v>
      </c>
    </row>
    <row r="211" spans="1:14" ht="18.75" customHeight="1" x14ac:dyDescent="0.3">
      <c r="A211" s="53">
        <v>205</v>
      </c>
      <c r="B211" s="88"/>
      <c r="C211" s="91"/>
      <c r="D211" s="85"/>
      <c r="E211" s="86"/>
      <c r="F211" s="87"/>
      <c r="G211" s="84"/>
      <c r="H211" s="80" t="e">
        <f t="shared" si="21"/>
        <v>#N/A</v>
      </c>
      <c r="I211" s="81" t="e">
        <f t="shared" si="22"/>
        <v>#N/A</v>
      </c>
      <c r="J211" s="80" t="e">
        <f t="shared" si="23"/>
        <v>#N/A</v>
      </c>
      <c r="K211" s="82" t="e">
        <f t="shared" si="24"/>
        <v>#N/A</v>
      </c>
      <c r="L211" s="80" t="e">
        <f t="shared" si="25"/>
        <v>#N/A</v>
      </c>
      <c r="M211" s="83" t="e">
        <f t="shared" si="26"/>
        <v>#N/A</v>
      </c>
      <c r="N211" s="83" t="e">
        <f t="shared" si="27"/>
        <v>#N/A</v>
      </c>
    </row>
    <row r="212" spans="1:14" ht="18.75" customHeight="1" x14ac:dyDescent="0.3">
      <c r="A212" s="53">
        <v>206</v>
      </c>
      <c r="B212" s="88"/>
      <c r="C212" s="91"/>
      <c r="D212" s="85"/>
      <c r="E212" s="86"/>
      <c r="F212" s="87"/>
      <c r="G212" s="84"/>
      <c r="H212" s="80" t="e">
        <f t="shared" si="21"/>
        <v>#N/A</v>
      </c>
      <c r="I212" s="81" t="e">
        <f t="shared" si="22"/>
        <v>#N/A</v>
      </c>
      <c r="J212" s="80" t="e">
        <f t="shared" si="23"/>
        <v>#N/A</v>
      </c>
      <c r="K212" s="82" t="e">
        <f t="shared" si="24"/>
        <v>#N/A</v>
      </c>
      <c r="L212" s="80" t="e">
        <f t="shared" si="25"/>
        <v>#N/A</v>
      </c>
      <c r="M212" s="83" t="e">
        <f t="shared" si="26"/>
        <v>#N/A</v>
      </c>
      <c r="N212" s="83" t="e">
        <f t="shared" si="27"/>
        <v>#N/A</v>
      </c>
    </row>
    <row r="213" spans="1:14" ht="18.75" customHeight="1" x14ac:dyDescent="0.3">
      <c r="A213" s="53">
        <v>207</v>
      </c>
      <c r="B213" s="88"/>
      <c r="C213" s="91"/>
      <c r="D213" s="85"/>
      <c r="E213" s="86"/>
      <c r="F213" s="87"/>
      <c r="G213" s="84"/>
      <c r="H213" s="80" t="e">
        <f t="shared" si="21"/>
        <v>#N/A</v>
      </c>
      <c r="I213" s="81" t="e">
        <f t="shared" si="22"/>
        <v>#N/A</v>
      </c>
      <c r="J213" s="80" t="e">
        <f t="shared" si="23"/>
        <v>#N/A</v>
      </c>
      <c r="K213" s="82" t="e">
        <f t="shared" si="24"/>
        <v>#N/A</v>
      </c>
      <c r="L213" s="80" t="e">
        <f t="shared" si="25"/>
        <v>#N/A</v>
      </c>
      <c r="M213" s="83" t="e">
        <f t="shared" si="26"/>
        <v>#N/A</v>
      </c>
      <c r="N213" s="83" t="e">
        <f t="shared" si="27"/>
        <v>#N/A</v>
      </c>
    </row>
    <row r="214" spans="1:14" ht="18.75" customHeight="1" x14ac:dyDescent="0.3">
      <c r="A214" s="53">
        <v>208</v>
      </c>
      <c r="B214" s="88"/>
      <c r="C214" s="91"/>
      <c r="D214" s="85"/>
      <c r="E214" s="86"/>
      <c r="F214" s="87"/>
      <c r="G214" s="84"/>
      <c r="H214" s="80" t="e">
        <f t="shared" si="21"/>
        <v>#N/A</v>
      </c>
      <c r="I214" s="81" t="e">
        <f t="shared" si="22"/>
        <v>#N/A</v>
      </c>
      <c r="J214" s="80" t="e">
        <f t="shared" si="23"/>
        <v>#N/A</v>
      </c>
      <c r="K214" s="82" t="e">
        <f t="shared" si="24"/>
        <v>#N/A</v>
      </c>
      <c r="L214" s="80" t="e">
        <f t="shared" si="25"/>
        <v>#N/A</v>
      </c>
      <c r="M214" s="83" t="e">
        <f t="shared" si="26"/>
        <v>#N/A</v>
      </c>
      <c r="N214" s="83" t="e">
        <f t="shared" si="27"/>
        <v>#N/A</v>
      </c>
    </row>
    <row r="215" spans="1:14" ht="18.75" customHeight="1" x14ac:dyDescent="0.3">
      <c r="A215" s="53">
        <v>209</v>
      </c>
      <c r="B215" s="88"/>
      <c r="C215" s="91"/>
      <c r="D215" s="85"/>
      <c r="E215" s="86"/>
      <c r="F215" s="87"/>
      <c r="G215" s="84"/>
      <c r="H215" s="80" t="e">
        <f t="shared" si="21"/>
        <v>#N/A</v>
      </c>
      <c r="I215" s="81" t="e">
        <f t="shared" si="22"/>
        <v>#N/A</v>
      </c>
      <c r="J215" s="80" t="e">
        <f t="shared" si="23"/>
        <v>#N/A</v>
      </c>
      <c r="K215" s="82" t="e">
        <f t="shared" si="24"/>
        <v>#N/A</v>
      </c>
      <c r="L215" s="80" t="e">
        <f t="shared" si="25"/>
        <v>#N/A</v>
      </c>
      <c r="M215" s="83" t="e">
        <f t="shared" si="26"/>
        <v>#N/A</v>
      </c>
      <c r="N215" s="83" t="e">
        <f t="shared" si="27"/>
        <v>#N/A</v>
      </c>
    </row>
    <row r="216" spans="1:14" ht="18.75" customHeight="1" x14ac:dyDescent="0.3">
      <c r="A216" s="53">
        <v>210</v>
      </c>
      <c r="B216" s="88"/>
      <c r="C216" s="91"/>
      <c r="D216" s="85"/>
      <c r="E216" s="86"/>
      <c r="F216" s="87"/>
      <c r="G216" s="84"/>
      <c r="H216" s="80" t="e">
        <f t="shared" si="21"/>
        <v>#N/A</v>
      </c>
      <c r="I216" s="81" t="e">
        <f t="shared" si="22"/>
        <v>#N/A</v>
      </c>
      <c r="J216" s="80" t="e">
        <f t="shared" si="23"/>
        <v>#N/A</v>
      </c>
      <c r="K216" s="82" t="e">
        <f t="shared" si="24"/>
        <v>#N/A</v>
      </c>
      <c r="L216" s="80" t="e">
        <f t="shared" si="25"/>
        <v>#N/A</v>
      </c>
      <c r="M216" s="83" t="e">
        <f t="shared" si="26"/>
        <v>#N/A</v>
      </c>
      <c r="N216" s="83" t="e">
        <f t="shared" si="27"/>
        <v>#N/A</v>
      </c>
    </row>
    <row r="217" spans="1:14" ht="18.75" customHeight="1" x14ac:dyDescent="0.3">
      <c r="A217" s="53">
        <v>211</v>
      </c>
      <c r="B217" s="88"/>
      <c r="C217" s="91"/>
      <c r="D217" s="85"/>
      <c r="E217" s="86"/>
      <c r="F217" s="87"/>
      <c r="G217" s="84"/>
      <c r="H217" s="80" t="e">
        <f t="shared" si="21"/>
        <v>#N/A</v>
      </c>
      <c r="I217" s="81" t="e">
        <f t="shared" si="22"/>
        <v>#N/A</v>
      </c>
      <c r="J217" s="80" t="e">
        <f t="shared" si="23"/>
        <v>#N/A</v>
      </c>
      <c r="K217" s="82" t="e">
        <f t="shared" si="24"/>
        <v>#N/A</v>
      </c>
      <c r="L217" s="80" t="e">
        <f t="shared" si="25"/>
        <v>#N/A</v>
      </c>
      <c r="M217" s="83" t="e">
        <f t="shared" si="26"/>
        <v>#N/A</v>
      </c>
      <c r="N217" s="83" t="e">
        <f t="shared" si="27"/>
        <v>#N/A</v>
      </c>
    </row>
    <row r="218" spans="1:14" ht="18.75" customHeight="1" x14ac:dyDescent="0.3">
      <c r="A218" s="53">
        <v>212</v>
      </c>
      <c r="B218" s="88"/>
      <c r="C218" s="91"/>
      <c r="D218" s="85"/>
      <c r="E218" s="86"/>
      <c r="F218" s="87"/>
      <c r="G218" s="84"/>
      <c r="H218" s="80" t="e">
        <f t="shared" si="21"/>
        <v>#N/A</v>
      </c>
      <c r="I218" s="81" t="e">
        <f t="shared" si="22"/>
        <v>#N/A</v>
      </c>
      <c r="J218" s="80" t="e">
        <f t="shared" si="23"/>
        <v>#N/A</v>
      </c>
      <c r="K218" s="82" t="e">
        <f t="shared" si="24"/>
        <v>#N/A</v>
      </c>
      <c r="L218" s="80" t="e">
        <f t="shared" si="25"/>
        <v>#N/A</v>
      </c>
      <c r="M218" s="83" t="e">
        <f t="shared" si="26"/>
        <v>#N/A</v>
      </c>
      <c r="N218" s="83" t="e">
        <f t="shared" si="27"/>
        <v>#N/A</v>
      </c>
    </row>
    <row r="219" spans="1:14" ht="18.75" customHeight="1" x14ac:dyDescent="0.3">
      <c r="A219" s="53">
        <v>213</v>
      </c>
      <c r="B219" s="88"/>
      <c r="C219" s="91"/>
      <c r="D219" s="85"/>
      <c r="E219" s="86"/>
      <c r="F219" s="87"/>
      <c r="G219" s="84"/>
      <c r="H219" s="80" t="e">
        <f t="shared" si="21"/>
        <v>#N/A</v>
      </c>
      <c r="I219" s="81" t="e">
        <f t="shared" si="22"/>
        <v>#N/A</v>
      </c>
      <c r="J219" s="80" t="e">
        <f t="shared" si="23"/>
        <v>#N/A</v>
      </c>
      <c r="K219" s="82" t="e">
        <f t="shared" si="24"/>
        <v>#N/A</v>
      </c>
      <c r="L219" s="80" t="e">
        <f t="shared" si="25"/>
        <v>#N/A</v>
      </c>
      <c r="M219" s="83" t="e">
        <f t="shared" si="26"/>
        <v>#N/A</v>
      </c>
      <c r="N219" s="83" t="e">
        <f t="shared" si="27"/>
        <v>#N/A</v>
      </c>
    </row>
    <row r="220" spans="1:14" ht="18.75" customHeight="1" x14ac:dyDescent="0.3">
      <c r="A220" s="53">
        <v>214</v>
      </c>
      <c r="B220" s="88"/>
      <c r="C220" s="91"/>
      <c r="D220" s="85"/>
      <c r="E220" s="86"/>
      <c r="F220" s="87"/>
      <c r="G220" s="84"/>
      <c r="H220" s="80" t="e">
        <f t="shared" si="21"/>
        <v>#N/A</v>
      </c>
      <c r="I220" s="81" t="e">
        <f t="shared" si="22"/>
        <v>#N/A</v>
      </c>
      <c r="J220" s="80" t="e">
        <f t="shared" si="23"/>
        <v>#N/A</v>
      </c>
      <c r="K220" s="82" t="e">
        <f t="shared" si="24"/>
        <v>#N/A</v>
      </c>
      <c r="L220" s="80" t="e">
        <f t="shared" si="25"/>
        <v>#N/A</v>
      </c>
      <c r="M220" s="83" t="e">
        <f t="shared" si="26"/>
        <v>#N/A</v>
      </c>
      <c r="N220" s="83" t="e">
        <f t="shared" si="27"/>
        <v>#N/A</v>
      </c>
    </row>
    <row r="221" spans="1:14" ht="18.75" customHeight="1" x14ac:dyDescent="0.3">
      <c r="A221" s="53">
        <v>215</v>
      </c>
      <c r="B221" s="88"/>
      <c r="C221" s="91"/>
      <c r="D221" s="85"/>
      <c r="E221" s="86"/>
      <c r="F221" s="87"/>
      <c r="G221" s="84"/>
      <c r="H221" s="80" t="e">
        <f t="shared" si="21"/>
        <v>#N/A</v>
      </c>
      <c r="I221" s="81" t="e">
        <f t="shared" si="22"/>
        <v>#N/A</v>
      </c>
      <c r="J221" s="80" t="e">
        <f t="shared" si="23"/>
        <v>#N/A</v>
      </c>
      <c r="K221" s="82" t="e">
        <f t="shared" si="24"/>
        <v>#N/A</v>
      </c>
      <c r="L221" s="80" t="e">
        <f t="shared" si="25"/>
        <v>#N/A</v>
      </c>
      <c r="M221" s="83" t="e">
        <f t="shared" si="26"/>
        <v>#N/A</v>
      </c>
      <c r="N221" s="83" t="e">
        <f t="shared" si="27"/>
        <v>#N/A</v>
      </c>
    </row>
    <row r="222" spans="1:14" ht="18.75" customHeight="1" x14ac:dyDescent="0.3">
      <c r="A222" s="53">
        <v>216</v>
      </c>
      <c r="B222" s="88"/>
      <c r="C222" s="91"/>
      <c r="D222" s="85"/>
      <c r="E222" s="86"/>
      <c r="F222" s="87"/>
      <c r="G222" s="84"/>
      <c r="H222" s="80" t="e">
        <f t="shared" si="21"/>
        <v>#N/A</v>
      </c>
      <c r="I222" s="81" t="e">
        <f t="shared" si="22"/>
        <v>#N/A</v>
      </c>
      <c r="J222" s="80" t="e">
        <f t="shared" si="23"/>
        <v>#N/A</v>
      </c>
      <c r="K222" s="82" t="e">
        <f t="shared" si="24"/>
        <v>#N/A</v>
      </c>
      <c r="L222" s="80" t="e">
        <f t="shared" si="25"/>
        <v>#N/A</v>
      </c>
      <c r="M222" s="83" t="e">
        <f t="shared" si="26"/>
        <v>#N/A</v>
      </c>
      <c r="N222" s="83" t="e">
        <f t="shared" si="27"/>
        <v>#N/A</v>
      </c>
    </row>
    <row r="223" spans="1:14" ht="18.75" customHeight="1" x14ac:dyDescent="0.3">
      <c r="A223" s="53">
        <v>217</v>
      </c>
      <c r="B223" s="88"/>
      <c r="C223" s="91"/>
      <c r="D223" s="85"/>
      <c r="E223" s="86"/>
      <c r="F223" s="87"/>
      <c r="G223" s="84"/>
      <c r="H223" s="80" t="e">
        <f t="shared" si="21"/>
        <v>#N/A</v>
      </c>
      <c r="I223" s="81" t="e">
        <f t="shared" si="22"/>
        <v>#N/A</v>
      </c>
      <c r="J223" s="80" t="e">
        <f t="shared" si="23"/>
        <v>#N/A</v>
      </c>
      <c r="K223" s="82" t="e">
        <f t="shared" si="24"/>
        <v>#N/A</v>
      </c>
      <c r="L223" s="80" t="e">
        <f t="shared" si="25"/>
        <v>#N/A</v>
      </c>
      <c r="M223" s="83" t="e">
        <f t="shared" si="26"/>
        <v>#N/A</v>
      </c>
      <c r="N223" s="83" t="e">
        <f t="shared" si="27"/>
        <v>#N/A</v>
      </c>
    </row>
    <row r="224" spans="1:14" ht="18.75" customHeight="1" x14ac:dyDescent="0.3">
      <c r="A224" s="53">
        <v>218</v>
      </c>
      <c r="B224" s="88"/>
      <c r="C224" s="91"/>
      <c r="D224" s="85"/>
      <c r="E224" s="86"/>
      <c r="F224" s="87"/>
      <c r="G224" s="84"/>
      <c r="H224" s="80" t="e">
        <f t="shared" si="21"/>
        <v>#N/A</v>
      </c>
      <c r="I224" s="81" t="e">
        <f t="shared" si="22"/>
        <v>#N/A</v>
      </c>
      <c r="J224" s="80" t="e">
        <f t="shared" si="23"/>
        <v>#N/A</v>
      </c>
      <c r="K224" s="82" t="e">
        <f t="shared" si="24"/>
        <v>#N/A</v>
      </c>
      <c r="L224" s="80" t="e">
        <f t="shared" si="25"/>
        <v>#N/A</v>
      </c>
      <c r="M224" s="83" t="e">
        <f t="shared" si="26"/>
        <v>#N/A</v>
      </c>
      <c r="N224" s="83" t="e">
        <f t="shared" si="27"/>
        <v>#N/A</v>
      </c>
    </row>
    <row r="225" spans="1:22" ht="18.75" customHeight="1" x14ac:dyDescent="0.3">
      <c r="A225" s="53">
        <v>219</v>
      </c>
      <c r="B225" s="88"/>
      <c r="C225" s="91"/>
      <c r="D225" s="85"/>
      <c r="E225" s="86"/>
      <c r="F225" s="87"/>
      <c r="G225" s="84"/>
      <c r="H225" s="80" t="e">
        <f t="shared" si="21"/>
        <v>#N/A</v>
      </c>
      <c r="I225" s="81" t="e">
        <f t="shared" si="22"/>
        <v>#N/A</v>
      </c>
      <c r="J225" s="80" t="e">
        <f t="shared" si="23"/>
        <v>#N/A</v>
      </c>
      <c r="K225" s="82" t="e">
        <f t="shared" si="24"/>
        <v>#N/A</v>
      </c>
      <c r="L225" s="80" t="e">
        <f t="shared" si="25"/>
        <v>#N/A</v>
      </c>
      <c r="M225" s="83" t="e">
        <f t="shared" si="26"/>
        <v>#N/A</v>
      </c>
      <c r="N225" s="83" t="e">
        <f t="shared" si="27"/>
        <v>#N/A</v>
      </c>
    </row>
    <row r="226" spans="1:22" ht="18.75" customHeight="1" x14ac:dyDescent="0.3">
      <c r="A226" s="53">
        <v>220</v>
      </c>
      <c r="B226" s="88"/>
      <c r="C226" s="91"/>
      <c r="D226" s="85"/>
      <c r="E226" s="86"/>
      <c r="F226" s="87"/>
      <c r="G226" s="84"/>
      <c r="H226" s="80" t="e">
        <f t="shared" si="21"/>
        <v>#N/A</v>
      </c>
      <c r="I226" s="81" t="e">
        <f t="shared" si="22"/>
        <v>#N/A</v>
      </c>
      <c r="J226" s="80" t="e">
        <f t="shared" si="23"/>
        <v>#N/A</v>
      </c>
      <c r="K226" s="82" t="e">
        <f t="shared" si="24"/>
        <v>#N/A</v>
      </c>
      <c r="L226" s="80" t="e">
        <f t="shared" si="25"/>
        <v>#N/A</v>
      </c>
      <c r="M226" s="83" t="e">
        <f t="shared" si="26"/>
        <v>#N/A</v>
      </c>
      <c r="N226" s="83" t="e">
        <f t="shared" si="27"/>
        <v>#N/A</v>
      </c>
    </row>
    <row r="227" spans="1:22" s="49" customFormat="1" ht="18.75" customHeight="1" x14ac:dyDescent="0.3">
      <c r="A227" s="53"/>
      <c r="B227" s="167"/>
      <c r="C227" s="168"/>
      <c r="D227" s="169"/>
      <c r="E227" s="170"/>
      <c r="F227" s="171"/>
      <c r="G227" s="172"/>
      <c r="H227" s="173"/>
      <c r="I227" s="174"/>
      <c r="J227" s="173"/>
      <c r="K227" s="175"/>
      <c r="L227" s="173"/>
      <c r="M227" s="176"/>
      <c r="N227" s="176"/>
      <c r="O227" s="177"/>
      <c r="P227" s="177"/>
      <c r="Q227" s="177"/>
      <c r="R227" s="177"/>
      <c r="S227" s="177"/>
      <c r="T227" s="177"/>
      <c r="U227" s="177"/>
      <c r="V227" s="177"/>
    </row>
    <row r="228" spans="1:22" ht="18.75" customHeight="1" x14ac:dyDescent="0.3">
      <c r="A228" s="178" t="s">
        <v>148</v>
      </c>
      <c r="B228" s="167"/>
      <c r="C228" s="168"/>
      <c r="D228" s="169"/>
      <c r="E228" s="170"/>
      <c r="F228" s="179" t="s">
        <v>138</v>
      </c>
      <c r="G228" s="180"/>
      <c r="H228" s="180"/>
      <c r="I228" s="173"/>
      <c r="J228" s="175"/>
      <c r="L228" s="173"/>
      <c r="M228" s="176"/>
      <c r="N228" s="176"/>
    </row>
    <row r="229" spans="1:22" ht="18.75" customHeight="1" x14ac:dyDescent="0.3">
      <c r="A229" s="182" t="s">
        <v>132</v>
      </c>
      <c r="B229" s="167"/>
      <c r="C229" s="168"/>
      <c r="D229" s="169"/>
      <c r="E229" s="170"/>
      <c r="F229" s="183" t="s">
        <v>133</v>
      </c>
      <c r="G229" s="184"/>
      <c r="H229" s="185"/>
      <c r="I229" s="183" t="s">
        <v>55</v>
      </c>
      <c r="J229" s="186"/>
      <c r="L229" s="184"/>
      <c r="M229" s="176"/>
      <c r="N229" s="176"/>
    </row>
    <row r="230" spans="1:22" ht="18.75" customHeight="1" x14ac:dyDescent="0.3">
      <c r="A230" s="182" t="s">
        <v>147</v>
      </c>
      <c r="B230" s="167"/>
      <c r="C230" s="168"/>
      <c r="D230" s="169"/>
      <c r="E230" s="170"/>
      <c r="F230" s="183" t="s">
        <v>149</v>
      </c>
      <c r="G230" s="184"/>
      <c r="H230" s="185"/>
      <c r="I230" s="183" t="s">
        <v>155</v>
      </c>
      <c r="J230" s="186"/>
      <c r="L230" s="184"/>
      <c r="M230" s="176"/>
      <c r="N230" s="176"/>
    </row>
    <row r="231" spans="1:22" ht="18.75" customHeight="1" x14ac:dyDescent="0.3">
      <c r="A231" s="182" t="s">
        <v>75</v>
      </c>
      <c r="E231" s="170"/>
      <c r="F231" s="183" t="s">
        <v>150</v>
      </c>
      <c r="G231" s="189"/>
      <c r="H231" s="190"/>
      <c r="I231" s="183" t="s">
        <v>156</v>
      </c>
      <c r="J231" s="191"/>
      <c r="L231" s="189"/>
    </row>
    <row r="232" spans="1:22" ht="18.75" customHeight="1" x14ac:dyDescent="0.3">
      <c r="A232" s="182" t="s">
        <v>76</v>
      </c>
      <c r="F232" s="183" t="s">
        <v>151</v>
      </c>
      <c r="G232" s="189"/>
      <c r="H232" s="190"/>
      <c r="I232" s="183" t="s">
        <v>151</v>
      </c>
      <c r="J232" s="191"/>
      <c r="L232" s="189"/>
    </row>
    <row r="233" spans="1:22" ht="18.75" customHeight="1" x14ac:dyDescent="0.3">
      <c r="A233" s="182" t="s">
        <v>77</v>
      </c>
      <c r="F233" s="183" t="s">
        <v>76</v>
      </c>
      <c r="G233" s="189"/>
      <c r="H233" s="190"/>
      <c r="I233" s="183" t="s">
        <v>76</v>
      </c>
      <c r="J233" s="191"/>
      <c r="L233" s="189"/>
    </row>
    <row r="234" spans="1:22" ht="18.75" customHeight="1" x14ac:dyDescent="0.3">
      <c r="A234" s="182" t="s">
        <v>78</v>
      </c>
      <c r="F234" s="183" t="s">
        <v>77</v>
      </c>
      <c r="G234" s="189"/>
      <c r="H234" s="190"/>
      <c r="I234" s="183" t="s">
        <v>77</v>
      </c>
      <c r="J234" s="191"/>
      <c r="L234" s="189"/>
    </row>
    <row r="235" spans="1:22" ht="18.75" customHeight="1" x14ac:dyDescent="0.3">
      <c r="F235" s="183" t="s">
        <v>152</v>
      </c>
      <c r="G235" s="189"/>
      <c r="H235" s="190"/>
      <c r="I235" s="183" t="s">
        <v>152</v>
      </c>
      <c r="J235" s="191"/>
      <c r="L235" s="189"/>
    </row>
    <row r="236" spans="1:22" ht="18.75" customHeight="1" x14ac:dyDescent="0.3">
      <c r="F236" s="193" t="s">
        <v>135</v>
      </c>
      <c r="G236" s="189"/>
      <c r="H236" s="190"/>
      <c r="I236" s="193" t="s">
        <v>134</v>
      </c>
      <c r="J236" s="191"/>
      <c r="L236" s="189"/>
    </row>
    <row r="237" spans="1:22" ht="18.75" customHeight="1" x14ac:dyDescent="0.3">
      <c r="F237" s="183" t="s">
        <v>153</v>
      </c>
      <c r="G237" s="189"/>
      <c r="H237" s="190"/>
      <c r="I237" s="183" t="s">
        <v>157</v>
      </c>
      <c r="J237" s="191"/>
      <c r="L237" s="189"/>
    </row>
    <row r="238" spans="1:22" ht="18.75" customHeight="1" x14ac:dyDescent="0.3">
      <c r="F238" s="183" t="s">
        <v>154</v>
      </c>
      <c r="G238" s="189"/>
      <c r="H238" s="190"/>
      <c r="I238" s="183" t="s">
        <v>158</v>
      </c>
      <c r="J238" s="191"/>
      <c r="L238" s="189"/>
    </row>
  </sheetData>
  <sheetProtection algorithmName="SHA-512" hashValue="PNuXp57GDTgYwTou3aik63xjJ8KBiOqoVbcWInCSGgtELZhSiKTqF40AFhv8hBQgXkqUc4IeIcjOWd7n6gawyw==" saltValue="8DBCu5XJ9Ygt8brmdQpGow==" spinCount="100000" sheet="1" objects="1" scenarios="1"/>
  <mergeCells count="11">
    <mergeCell ref="H3:J3"/>
    <mergeCell ref="K3:N3"/>
    <mergeCell ref="H1:K1"/>
    <mergeCell ref="A3:G3"/>
    <mergeCell ref="M1:N1"/>
    <mergeCell ref="M2:N2"/>
    <mergeCell ref="H2:K2"/>
    <mergeCell ref="C1:F1"/>
    <mergeCell ref="C2:F2"/>
    <mergeCell ref="A1:B1"/>
    <mergeCell ref="A2:B2"/>
  </mergeCells>
  <conditionalFormatting sqref="A1:XFD227 A239:XFD1048576 G229:H238 A228:E238 J229:J238 L228:XFD238 F228:J228">
    <cfRule type="containsErrors" dxfId="5" priority="1">
      <formula>ISERROR(A1)</formula>
    </cfRule>
  </conditionalFormatting>
  <hyperlinks>
    <hyperlink ref="F236" r:id="rId1" display="mailto:keltschlager@osmre.gov" xr:uid="{00000000-0004-0000-0000-000000000000}"/>
    <hyperlink ref="I236" r:id="rId2" display="mailto:bfarmer@osmre.gov" xr:uid="{00000000-0004-0000-0000-000001000000}"/>
  </hyperlinks>
  <printOptions horizontalCentered="1"/>
  <pageMargins left="0.7" right="0.7" top="0.75" bottom="0.75" header="0.3" footer="0.3"/>
  <pageSetup scale="55" orientation="landscape" r:id="rId3"/>
  <headerFooter>
    <oddHeader>&amp;C&amp;"Arial,Bold"&amp;12OSMRE Regression Analysis of Blast-Induced Vibration Data</oddHeader>
    <oddFooter>&amp;C&amp;"Arial,Regular"&amp;12Page &amp;P of &amp;N</oddFooter>
  </headerFooter>
  <rowBreaks count="1" manualBreakCount="1">
    <brk id="2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V291"/>
  <sheetViews>
    <sheetView view="pageBreakPreview" zoomScaleNormal="100" zoomScaleSheetLayoutView="100" workbookViewId="0">
      <selection activeCell="L1" sqref="L1"/>
    </sheetView>
  </sheetViews>
  <sheetFormatPr defaultColWidth="9.109375" defaultRowHeight="14.4" x14ac:dyDescent="0.3"/>
  <cols>
    <col min="1" max="1" width="9.109375" style="140" customWidth="1"/>
    <col min="2" max="5" width="9.109375" style="140"/>
    <col min="6" max="6" width="9.109375" style="140" customWidth="1"/>
    <col min="7" max="10" width="9.109375" style="140"/>
    <col min="11" max="11" width="9.109375" style="140" customWidth="1"/>
    <col min="12" max="12" width="9.109375" style="140"/>
    <col min="13" max="13" width="58.33203125" style="146" bestFit="1" customWidth="1"/>
    <col min="14" max="14" width="18" style="146" bestFit="1" customWidth="1"/>
    <col min="15" max="15" width="18.5546875" style="146" bestFit="1" customWidth="1"/>
    <col min="16" max="21" width="9.109375" style="139"/>
    <col min="22" max="16384" width="9.109375" style="140"/>
  </cols>
  <sheetData>
    <row r="1" spans="1:22" s="30" customFormat="1" ht="15" customHeight="1" x14ac:dyDescent="0.25">
      <c r="A1" s="20" t="s">
        <v>56</v>
      </c>
      <c r="B1" s="21" t="str">
        <f>Input_Data!H1</f>
        <v>Pittsburgh Mine</v>
      </c>
      <c r="C1" s="22"/>
      <c r="D1" s="23"/>
      <c r="E1" s="23"/>
      <c r="F1" s="24"/>
      <c r="G1" s="25"/>
      <c r="H1" s="25" t="s">
        <v>50</v>
      </c>
      <c r="I1" s="21" t="str">
        <f>Input_Data!C1</f>
        <v>OSMRE</v>
      </c>
      <c r="J1" s="22"/>
      <c r="K1" s="23"/>
      <c r="L1" s="25"/>
      <c r="M1" s="114" t="s">
        <v>102</v>
      </c>
      <c r="N1" s="121"/>
      <c r="O1" s="125"/>
      <c r="P1" s="130"/>
      <c r="Q1" s="130"/>
      <c r="R1" s="130"/>
      <c r="S1" s="130"/>
      <c r="T1" s="130"/>
      <c r="U1" s="130"/>
    </row>
    <row r="2" spans="1:22" s="30" customFormat="1" ht="15" customHeight="1" x14ac:dyDescent="0.25">
      <c r="A2" s="20" t="s">
        <v>66</v>
      </c>
      <c r="B2" s="26" t="str">
        <f>Input_Data!H2</f>
        <v>D-12345</v>
      </c>
      <c r="C2" s="27"/>
      <c r="D2" s="27"/>
      <c r="E2" s="27"/>
      <c r="F2" s="26"/>
      <c r="G2" s="25"/>
      <c r="H2" s="25" t="s">
        <v>52</v>
      </c>
      <c r="I2" s="28">
        <f>Input_Data!M1</f>
        <v>43466</v>
      </c>
      <c r="J2" s="29"/>
      <c r="K2" s="27"/>
      <c r="L2" s="131"/>
      <c r="M2" s="93" t="s">
        <v>81</v>
      </c>
      <c r="N2" s="122">
        <f ca="1">ROUNDDOWN(MIN(SD2_0.5),0)</f>
        <v>2</v>
      </c>
      <c r="O2" s="126"/>
      <c r="P2" s="130"/>
      <c r="Q2" s="130"/>
      <c r="R2" s="130"/>
      <c r="S2" s="130"/>
      <c r="T2" s="130"/>
      <c r="U2" s="130"/>
      <c r="V2" s="144"/>
    </row>
    <row r="3" spans="1:22" s="30" customFormat="1" ht="15" customHeight="1" x14ac:dyDescent="0.25">
      <c r="A3" s="30" t="s">
        <v>51</v>
      </c>
      <c r="B3" s="31" t="str">
        <f>Input_Data!C2</f>
        <v>Top Flight Blasting</v>
      </c>
      <c r="C3" s="29"/>
      <c r="D3" s="29"/>
      <c r="E3" s="29"/>
      <c r="F3" s="29"/>
      <c r="H3" s="32" t="s">
        <v>67</v>
      </c>
      <c r="I3" s="31" t="str">
        <f>Input_Data!M2</f>
        <v>Brian Farmer, P.E.</v>
      </c>
      <c r="J3" s="29"/>
      <c r="K3" s="29"/>
      <c r="L3" s="132"/>
      <c r="M3" s="95" t="s">
        <v>82</v>
      </c>
      <c r="N3" s="122">
        <f ca="1">ROUNDUP(MAX(SD2_0.5),-2)</f>
        <v>300</v>
      </c>
      <c r="O3" s="126"/>
      <c r="P3" s="130"/>
      <c r="Q3" s="130"/>
      <c r="R3" s="130"/>
      <c r="S3" s="130"/>
      <c r="T3" s="130"/>
      <c r="U3" s="130"/>
      <c r="V3" s="144"/>
    </row>
    <row r="4" spans="1:22" s="134" customFormat="1" ht="15" customHeight="1" x14ac:dyDescent="0.25">
      <c r="A4" s="133"/>
      <c r="B4" s="133"/>
      <c r="L4" s="135"/>
      <c r="M4" s="96" t="s">
        <v>118</v>
      </c>
      <c r="N4" s="123">
        <f ca="1">10^(STEYX(Log_PPV,Log_SD2))</f>
        <v>1.7399685650127363</v>
      </c>
      <c r="O4" s="127"/>
      <c r="P4" s="136"/>
      <c r="Q4" s="100"/>
      <c r="R4" s="100"/>
      <c r="S4" s="100"/>
      <c r="T4" s="100"/>
      <c r="U4" s="100"/>
      <c r="V4" s="144"/>
    </row>
    <row r="5" spans="1:22" s="134" customFormat="1" ht="15" customHeight="1" x14ac:dyDescent="0.25">
      <c r="J5" s="137"/>
      <c r="L5" s="135"/>
      <c r="M5" s="98" t="s">
        <v>73</v>
      </c>
      <c r="N5" s="123">
        <f ca="1">(Ground_Vibration!E43*N4)*N4</f>
        <v>112.57348522450845</v>
      </c>
      <c r="O5" s="127"/>
      <c r="P5" s="136"/>
      <c r="Q5" s="100"/>
      <c r="R5" s="100"/>
      <c r="S5" s="100"/>
      <c r="T5" s="100"/>
      <c r="U5" s="100"/>
      <c r="V5" s="144"/>
    </row>
    <row r="6" spans="1:22" s="134" customFormat="1" ht="15" customHeight="1" x14ac:dyDescent="0.25">
      <c r="M6" s="98" t="s">
        <v>83</v>
      </c>
      <c r="N6" s="123">
        <f ca="1">N5*(N2^Ground_Vibration!E45)</f>
        <v>50.410824457895714</v>
      </c>
      <c r="O6" s="127"/>
      <c r="P6" s="136"/>
      <c r="Q6" s="100"/>
      <c r="R6" s="100"/>
      <c r="S6" s="100"/>
      <c r="T6" s="100"/>
      <c r="U6" s="100"/>
      <c r="V6" s="144"/>
    </row>
    <row r="7" spans="1:22" s="134" customFormat="1" ht="15" customHeight="1" x14ac:dyDescent="0.25">
      <c r="M7" s="99" t="s">
        <v>84</v>
      </c>
      <c r="N7" s="124">
        <f ca="1">N5*(N3^Ground_Vibration!E45)</f>
        <v>0.15146070048517571</v>
      </c>
      <c r="O7" s="128"/>
      <c r="P7" s="136"/>
      <c r="Q7" s="100"/>
      <c r="R7" s="100"/>
      <c r="S7" s="100"/>
      <c r="T7" s="100"/>
      <c r="U7" s="100"/>
      <c r="V7" s="144"/>
    </row>
    <row r="8" spans="1:22" s="134" customFormat="1" ht="15" customHeight="1" x14ac:dyDescent="0.25">
      <c r="M8" s="166"/>
      <c r="N8" s="116"/>
      <c r="O8" s="129"/>
      <c r="P8" s="136"/>
      <c r="Q8" s="100"/>
      <c r="R8" s="100"/>
      <c r="S8" s="100"/>
      <c r="T8" s="100"/>
      <c r="U8" s="100"/>
      <c r="V8" s="145"/>
    </row>
    <row r="9" spans="1:22" ht="15" customHeight="1" x14ac:dyDescent="0.3">
      <c r="A9" s="134"/>
      <c r="B9" s="134"/>
      <c r="C9" s="134"/>
      <c r="D9" s="134"/>
      <c r="E9" s="134"/>
      <c r="F9" s="134"/>
      <c r="G9" s="134"/>
      <c r="H9" s="134"/>
      <c r="I9" s="134"/>
      <c r="J9" s="134"/>
      <c r="K9" s="134"/>
      <c r="L9" s="134"/>
      <c r="M9" s="117" t="s">
        <v>103</v>
      </c>
      <c r="N9" s="118" t="s">
        <v>68</v>
      </c>
      <c r="O9" s="120" t="s">
        <v>69</v>
      </c>
    </row>
    <row r="10" spans="1:22" ht="15" customHeight="1" x14ac:dyDescent="0.3">
      <c r="A10" s="134"/>
      <c r="B10" s="134"/>
      <c r="C10" s="134"/>
      <c r="D10" s="134"/>
      <c r="E10" s="134"/>
      <c r="F10" s="134"/>
      <c r="G10" s="134"/>
      <c r="H10" s="134"/>
      <c r="I10" s="134"/>
      <c r="J10" s="134"/>
      <c r="K10" s="134"/>
      <c r="L10" s="134"/>
      <c r="M10" s="96" t="s">
        <v>88</v>
      </c>
      <c r="N10" s="15">
        <f ca="1">119*(N2^-1.52)</f>
        <v>41.493624073924565</v>
      </c>
      <c r="O10" s="17">
        <f ca="1">119*(N3^-1.52)</f>
        <v>2.0432553946123082E-2</v>
      </c>
    </row>
    <row r="11" spans="1:22" ht="15" customHeight="1" x14ac:dyDescent="0.3">
      <c r="A11" s="134"/>
      <c r="B11" s="134"/>
      <c r="C11" s="134"/>
      <c r="D11" s="134"/>
      <c r="E11" s="134"/>
      <c r="F11" s="134"/>
      <c r="G11" s="134"/>
      <c r="H11" s="134"/>
      <c r="I11" s="134"/>
      <c r="J11" s="134"/>
      <c r="K11" s="134"/>
      <c r="L11" s="134"/>
      <c r="M11" s="101" t="s">
        <v>89</v>
      </c>
      <c r="N11" s="16">
        <f ca="1">438*(N2^-1.52)</f>
        <v>152.72443146536941</v>
      </c>
      <c r="O11" s="18">
        <f ca="1">438*(N3^-1.52)</f>
        <v>7.520553469245303E-2</v>
      </c>
    </row>
    <row r="12" spans="1:22" ht="15" customHeight="1" x14ac:dyDescent="0.3">
      <c r="A12" s="134"/>
      <c r="B12" s="134"/>
      <c r="C12" s="134"/>
      <c r="D12" s="134"/>
      <c r="E12" s="134"/>
      <c r="F12" s="134"/>
      <c r="G12" s="134"/>
      <c r="H12" s="134"/>
      <c r="I12" s="134"/>
      <c r="J12" s="134"/>
      <c r="K12" s="134"/>
      <c r="L12" s="134"/>
      <c r="M12" s="212" t="s">
        <v>120</v>
      </c>
      <c r="N12" s="213"/>
      <c r="O12" s="214"/>
      <c r="P12" s="130"/>
      <c r="Q12" s="130"/>
      <c r="R12" s="130"/>
    </row>
    <row r="13" spans="1:22" ht="15" customHeight="1" x14ac:dyDescent="0.3">
      <c r="A13" s="134"/>
      <c r="B13" s="134"/>
      <c r="C13" s="134"/>
      <c r="D13" s="134"/>
      <c r="E13" s="134"/>
      <c r="F13" s="134"/>
      <c r="G13" s="134"/>
      <c r="H13" s="134"/>
      <c r="I13" s="134"/>
      <c r="J13" s="134"/>
      <c r="K13" s="134"/>
      <c r="L13" s="134"/>
      <c r="M13" s="215"/>
      <c r="N13" s="216"/>
      <c r="O13" s="217"/>
      <c r="P13" s="130"/>
      <c r="Q13" s="130"/>
      <c r="R13" s="130"/>
      <c r="S13" s="130"/>
      <c r="T13" s="130"/>
    </row>
    <row r="14" spans="1:22" ht="15" customHeight="1" x14ac:dyDescent="0.3">
      <c r="A14" s="134"/>
      <c r="B14" s="134"/>
      <c r="C14" s="134"/>
      <c r="D14" s="134"/>
      <c r="E14" s="134"/>
      <c r="F14" s="134"/>
      <c r="G14" s="134"/>
      <c r="H14" s="134"/>
      <c r="I14" s="134"/>
      <c r="J14" s="134"/>
      <c r="K14" s="134"/>
      <c r="L14" s="134"/>
      <c r="M14" s="218"/>
      <c r="N14" s="219"/>
      <c r="O14" s="220"/>
      <c r="P14" s="141"/>
    </row>
    <row r="15" spans="1:22" ht="15" customHeight="1" x14ac:dyDescent="0.3">
      <c r="A15" s="134"/>
      <c r="B15" s="134"/>
      <c r="C15" s="134"/>
      <c r="D15" s="134"/>
      <c r="E15" s="134"/>
      <c r="F15" s="134"/>
      <c r="G15" s="134"/>
      <c r="H15" s="134"/>
      <c r="I15" s="134"/>
      <c r="J15" s="134"/>
      <c r="K15" s="134"/>
      <c r="L15" s="134"/>
      <c r="M15" s="221"/>
      <c r="N15" s="222"/>
      <c r="O15" s="223"/>
      <c r="P15" s="141"/>
    </row>
    <row r="16" spans="1:22" ht="15" customHeight="1" x14ac:dyDescent="0.3">
      <c r="A16" s="134"/>
      <c r="B16" s="134"/>
      <c r="C16" s="134"/>
      <c r="D16" s="134"/>
      <c r="E16" s="134"/>
      <c r="F16" s="134"/>
      <c r="G16" s="134"/>
      <c r="H16" s="134"/>
      <c r="I16" s="134"/>
      <c r="J16" s="134"/>
      <c r="K16" s="134"/>
      <c r="L16" s="134"/>
      <c r="O16" s="147"/>
      <c r="P16" s="141"/>
    </row>
    <row r="17" spans="1:16" ht="15" customHeight="1" x14ac:dyDescent="0.3">
      <c r="A17" s="134"/>
      <c r="B17" s="134"/>
      <c r="C17" s="134"/>
      <c r="D17" s="134"/>
      <c r="E17" s="134"/>
      <c r="F17" s="134"/>
      <c r="G17" s="134"/>
      <c r="H17" s="134"/>
      <c r="I17" s="134"/>
      <c r="J17" s="134"/>
      <c r="K17" s="134"/>
      <c r="L17" s="134"/>
      <c r="O17" s="147"/>
      <c r="P17" s="141"/>
    </row>
    <row r="18" spans="1:16" ht="15" customHeight="1" x14ac:dyDescent="0.3">
      <c r="A18" s="134"/>
      <c r="B18" s="134"/>
      <c r="C18" s="134"/>
      <c r="D18" s="134"/>
      <c r="E18" s="134"/>
      <c r="F18" s="134"/>
      <c r="G18" s="134"/>
      <c r="H18" s="134"/>
      <c r="I18" s="134"/>
      <c r="J18" s="134"/>
      <c r="K18" s="134"/>
      <c r="L18" s="134"/>
      <c r="O18" s="147"/>
      <c r="P18" s="141"/>
    </row>
    <row r="19" spans="1:16" ht="15" customHeight="1" x14ac:dyDescent="0.3">
      <c r="A19" s="134"/>
      <c r="B19" s="134"/>
      <c r="C19" s="134"/>
      <c r="D19" s="134"/>
      <c r="E19" s="134"/>
      <c r="F19" s="134"/>
      <c r="G19" s="134"/>
      <c r="H19" s="134"/>
      <c r="I19" s="134"/>
      <c r="J19" s="134"/>
      <c r="K19" s="134"/>
      <c r="L19" s="134"/>
      <c r="O19" s="147"/>
      <c r="P19" s="141"/>
    </row>
    <row r="20" spans="1:16" ht="15" customHeight="1" x14ac:dyDescent="0.3">
      <c r="A20" s="134"/>
      <c r="B20" s="134"/>
      <c r="C20" s="134"/>
      <c r="D20" s="134"/>
      <c r="E20" s="134"/>
      <c r="F20" s="134"/>
      <c r="G20" s="134"/>
      <c r="H20" s="134"/>
      <c r="I20" s="134"/>
      <c r="J20" s="134"/>
      <c r="K20" s="134"/>
      <c r="L20" s="134"/>
      <c r="O20" s="147"/>
      <c r="P20" s="141"/>
    </row>
    <row r="21" spans="1:16" ht="15" customHeight="1" x14ac:dyDescent="0.3">
      <c r="A21" s="134"/>
      <c r="B21" s="134"/>
      <c r="C21" s="134"/>
      <c r="D21" s="134"/>
      <c r="E21" s="134"/>
      <c r="F21" s="134"/>
      <c r="G21" s="134"/>
      <c r="H21" s="134"/>
      <c r="I21" s="134"/>
      <c r="J21" s="134"/>
      <c r="K21" s="134"/>
      <c r="L21" s="134"/>
      <c r="O21" s="147"/>
      <c r="P21" s="141"/>
    </row>
    <row r="22" spans="1:16" ht="15" customHeight="1" x14ac:dyDescent="0.3">
      <c r="A22" s="134"/>
      <c r="B22" s="134"/>
      <c r="C22" s="134"/>
      <c r="D22" s="134"/>
      <c r="E22" s="134"/>
      <c r="F22" s="134"/>
      <c r="G22" s="134"/>
      <c r="H22" s="134"/>
      <c r="I22" s="134"/>
      <c r="J22" s="134"/>
      <c r="K22" s="134"/>
      <c r="L22" s="134"/>
      <c r="O22" s="147"/>
      <c r="P22" s="141"/>
    </row>
    <row r="23" spans="1:16" ht="15" customHeight="1" x14ac:dyDescent="0.3">
      <c r="A23" s="134"/>
      <c r="B23" s="134"/>
      <c r="C23" s="134"/>
      <c r="D23" s="134"/>
      <c r="E23" s="134"/>
      <c r="F23" s="134"/>
      <c r="G23" s="134"/>
      <c r="H23" s="134"/>
      <c r="I23" s="134"/>
      <c r="J23" s="134"/>
      <c r="K23" s="134"/>
      <c r="L23" s="134"/>
      <c r="O23" s="147"/>
      <c r="P23" s="141"/>
    </row>
    <row r="24" spans="1:16" ht="15" customHeight="1" x14ac:dyDescent="0.3">
      <c r="A24" s="134"/>
      <c r="B24" s="134"/>
      <c r="C24" s="134"/>
      <c r="D24" s="134"/>
      <c r="E24" s="134"/>
      <c r="F24" s="134"/>
      <c r="G24" s="134"/>
      <c r="H24" s="134"/>
      <c r="I24" s="134"/>
      <c r="J24" s="134"/>
      <c r="K24" s="134"/>
      <c r="L24" s="134"/>
      <c r="O24" s="147"/>
      <c r="P24" s="141"/>
    </row>
    <row r="25" spans="1:16" ht="15" customHeight="1" x14ac:dyDescent="0.3">
      <c r="A25" s="134"/>
      <c r="B25" s="134"/>
      <c r="C25" s="134"/>
      <c r="D25" s="134"/>
      <c r="E25" s="134"/>
      <c r="F25" s="134"/>
      <c r="G25" s="134"/>
      <c r="H25" s="134"/>
      <c r="I25" s="134"/>
      <c r="J25" s="134"/>
      <c r="K25" s="134"/>
      <c r="L25" s="134"/>
      <c r="O25" s="147"/>
      <c r="P25" s="141"/>
    </row>
    <row r="26" spans="1:16" ht="15" customHeight="1" x14ac:dyDescent="0.3">
      <c r="A26" s="134"/>
      <c r="B26" s="134"/>
      <c r="C26" s="134"/>
      <c r="D26" s="134"/>
      <c r="E26" s="134"/>
      <c r="F26" s="134"/>
      <c r="G26" s="134"/>
      <c r="H26" s="134"/>
      <c r="I26" s="134"/>
      <c r="J26" s="134"/>
      <c r="K26" s="134"/>
      <c r="L26" s="134"/>
      <c r="O26" s="147"/>
      <c r="P26" s="141"/>
    </row>
    <row r="27" spans="1:16" ht="15" customHeight="1" x14ac:dyDescent="0.3">
      <c r="A27" s="134"/>
      <c r="B27" s="134"/>
      <c r="C27" s="134"/>
      <c r="D27" s="134"/>
      <c r="E27" s="134"/>
      <c r="F27" s="134"/>
      <c r="G27" s="134"/>
      <c r="H27" s="134"/>
      <c r="I27" s="134"/>
      <c r="J27" s="134"/>
      <c r="K27" s="134"/>
      <c r="L27" s="134"/>
      <c r="O27" s="147"/>
      <c r="P27" s="141"/>
    </row>
    <row r="28" spans="1:16" ht="15" customHeight="1" x14ac:dyDescent="0.3">
      <c r="A28" s="134"/>
      <c r="B28" s="134"/>
      <c r="C28" s="134"/>
      <c r="D28" s="134"/>
      <c r="E28" s="134"/>
      <c r="F28" s="134"/>
      <c r="G28" s="134"/>
      <c r="H28" s="134"/>
      <c r="I28" s="134"/>
      <c r="J28" s="134"/>
      <c r="K28" s="134"/>
      <c r="L28" s="134"/>
      <c r="O28" s="147"/>
      <c r="P28" s="141"/>
    </row>
    <row r="29" spans="1:16" ht="15" customHeight="1" x14ac:dyDescent="0.3">
      <c r="A29" s="134"/>
      <c r="B29" s="134"/>
      <c r="C29" s="134"/>
      <c r="D29" s="134"/>
      <c r="E29" s="134"/>
      <c r="F29" s="134"/>
      <c r="G29" s="134"/>
      <c r="H29" s="134"/>
      <c r="I29" s="134"/>
      <c r="J29" s="134"/>
      <c r="K29" s="134"/>
      <c r="L29" s="134"/>
      <c r="O29" s="147"/>
      <c r="P29" s="141"/>
    </row>
    <row r="30" spans="1:16" ht="15" customHeight="1" x14ac:dyDescent="0.3">
      <c r="A30" s="134"/>
      <c r="B30" s="134"/>
      <c r="C30" s="134"/>
      <c r="D30" s="134"/>
      <c r="E30" s="134"/>
      <c r="F30" s="134"/>
      <c r="G30" s="134"/>
      <c r="H30" s="134"/>
      <c r="I30" s="134"/>
      <c r="J30" s="134"/>
      <c r="K30" s="134"/>
      <c r="L30" s="134"/>
      <c r="O30" s="147"/>
      <c r="P30" s="141"/>
    </row>
    <row r="31" spans="1:16" ht="15" customHeight="1" x14ac:dyDescent="0.3">
      <c r="A31" s="134"/>
      <c r="B31" s="134"/>
      <c r="C31" s="134"/>
      <c r="D31" s="134"/>
      <c r="E31" s="134"/>
      <c r="F31" s="134"/>
      <c r="G31" s="134"/>
      <c r="H31" s="134"/>
      <c r="I31" s="134"/>
      <c r="J31" s="134"/>
      <c r="K31" s="134"/>
      <c r="L31" s="134"/>
      <c r="O31" s="147"/>
      <c r="P31" s="141"/>
    </row>
    <row r="32" spans="1:16" ht="15" customHeight="1" x14ac:dyDescent="0.3">
      <c r="A32" s="134"/>
      <c r="B32" s="134"/>
      <c r="C32" s="134"/>
      <c r="D32" s="134"/>
      <c r="E32" s="134"/>
      <c r="F32" s="134"/>
      <c r="G32" s="134"/>
      <c r="H32" s="134"/>
      <c r="I32" s="134"/>
      <c r="J32" s="134"/>
      <c r="K32" s="134"/>
      <c r="L32" s="134"/>
      <c r="O32" s="147"/>
      <c r="P32" s="141"/>
    </row>
    <row r="33" spans="1:16" ht="15" customHeight="1" x14ac:dyDescent="0.3">
      <c r="A33" s="134"/>
      <c r="B33" s="134"/>
      <c r="C33" s="134"/>
      <c r="D33" s="134"/>
      <c r="E33" s="134"/>
      <c r="F33" s="134"/>
      <c r="G33" s="134"/>
      <c r="H33" s="134"/>
      <c r="I33" s="134"/>
      <c r="J33" s="134"/>
      <c r="K33" s="134"/>
      <c r="L33" s="134"/>
      <c r="O33" s="147"/>
      <c r="P33" s="141"/>
    </row>
    <row r="34" spans="1:16" ht="15" customHeight="1" x14ac:dyDescent="0.3">
      <c r="A34" s="134"/>
      <c r="B34" s="134"/>
      <c r="C34" s="134"/>
      <c r="D34" s="134"/>
      <c r="E34" s="134"/>
      <c r="F34" s="134"/>
      <c r="G34" s="134"/>
      <c r="H34" s="134"/>
      <c r="I34" s="134"/>
      <c r="J34" s="134"/>
      <c r="K34" s="134"/>
      <c r="L34" s="134"/>
      <c r="O34" s="147"/>
      <c r="P34" s="141"/>
    </row>
    <row r="35" spans="1:16" ht="15" customHeight="1" x14ac:dyDescent="0.3">
      <c r="A35" s="134"/>
      <c r="B35" s="134"/>
      <c r="C35" s="134"/>
      <c r="D35" s="134"/>
      <c r="E35" s="134"/>
      <c r="F35" s="134"/>
      <c r="G35" s="134"/>
      <c r="H35" s="134"/>
      <c r="I35" s="134"/>
      <c r="J35" s="134"/>
      <c r="K35" s="134"/>
      <c r="L35" s="134"/>
      <c r="O35" s="147"/>
      <c r="P35" s="141"/>
    </row>
    <row r="36" spans="1:16" ht="15" customHeight="1" x14ac:dyDescent="0.3">
      <c r="A36" s="134"/>
      <c r="B36" s="134"/>
      <c r="C36" s="134"/>
      <c r="D36" s="134"/>
      <c r="E36" s="134"/>
      <c r="F36" s="134"/>
      <c r="G36" s="134"/>
      <c r="H36" s="134"/>
      <c r="I36" s="134"/>
      <c r="J36" s="134"/>
      <c r="K36" s="134"/>
      <c r="L36" s="134"/>
      <c r="O36" s="147"/>
      <c r="P36" s="141"/>
    </row>
    <row r="37" spans="1:16" ht="15" customHeight="1" x14ac:dyDescent="0.3">
      <c r="A37" s="134"/>
      <c r="B37" s="134"/>
      <c r="C37" s="134"/>
      <c r="D37" s="134"/>
      <c r="E37" s="134"/>
      <c r="F37" s="134"/>
      <c r="G37" s="134"/>
      <c r="H37" s="134"/>
      <c r="I37" s="134"/>
      <c r="J37" s="134"/>
      <c r="K37" s="134"/>
      <c r="L37" s="134"/>
      <c r="O37" s="147"/>
      <c r="P37" s="141"/>
    </row>
    <row r="38" spans="1:16" ht="15" customHeight="1" x14ac:dyDescent="0.3">
      <c r="A38" s="134"/>
      <c r="B38" s="134"/>
      <c r="C38" s="134"/>
      <c r="D38" s="134"/>
      <c r="E38" s="134"/>
      <c r="F38" s="134"/>
      <c r="G38" s="134"/>
      <c r="H38" s="134"/>
      <c r="I38" s="134"/>
      <c r="J38" s="134"/>
      <c r="K38" s="134"/>
      <c r="L38" s="134"/>
      <c r="O38" s="147"/>
      <c r="P38" s="141"/>
    </row>
    <row r="39" spans="1:16" ht="15" customHeight="1" x14ac:dyDescent="0.3">
      <c r="A39" s="134"/>
      <c r="B39" s="134"/>
      <c r="C39" s="134"/>
      <c r="D39" s="134"/>
      <c r="E39" s="134"/>
      <c r="F39" s="134"/>
      <c r="G39" s="134"/>
      <c r="H39" s="134"/>
      <c r="I39" s="134"/>
      <c r="J39" s="134"/>
      <c r="K39" s="134"/>
      <c r="L39" s="134"/>
      <c r="O39" s="147"/>
      <c r="P39" s="141"/>
    </row>
    <row r="40" spans="1:16" ht="18" customHeight="1" x14ac:dyDescent="0.3">
      <c r="A40" s="1" t="str">
        <f ca="1">"The blast event data was collected intermittently between the following dates:  "&amp;TEXT(MIN(Date),"mm/dd/yy")&amp;" and "&amp;TEXT(MAX(Date),"mm/dd/yy")&amp;"."</f>
        <v>The blast event data was collected intermittently between the following dates:  07/27/00 and 08/29/01.</v>
      </c>
      <c r="B40" s="102"/>
      <c r="C40" s="102"/>
      <c r="D40" s="102"/>
      <c r="E40" s="102"/>
      <c r="F40" s="102"/>
      <c r="G40" s="102"/>
      <c r="H40" s="1"/>
      <c r="I40" s="102"/>
      <c r="J40" s="1"/>
      <c r="K40" s="102"/>
      <c r="L40" s="134"/>
      <c r="O40" s="147"/>
      <c r="P40" s="141"/>
    </row>
    <row r="41" spans="1:16" ht="18" customHeight="1" x14ac:dyDescent="0.3">
      <c r="A41" s="102"/>
      <c r="B41" s="102"/>
      <c r="C41" s="102"/>
      <c r="D41" s="102"/>
      <c r="E41" s="102"/>
      <c r="F41" s="102"/>
      <c r="G41" s="103"/>
      <c r="H41" s="103"/>
      <c r="I41" s="104"/>
      <c r="J41" s="102"/>
      <c r="K41" s="102"/>
      <c r="L41" s="134"/>
      <c r="P41" s="141"/>
    </row>
    <row r="42" spans="1:16" ht="18" customHeight="1" x14ac:dyDescent="0.3">
      <c r="A42" s="233" t="s">
        <v>123</v>
      </c>
      <c r="B42" s="234"/>
      <c r="C42" s="234"/>
      <c r="D42" s="234"/>
      <c r="E42" s="234"/>
      <c r="F42" s="234"/>
      <c r="G42" s="234"/>
      <c r="H42" s="234"/>
      <c r="I42" s="234"/>
      <c r="J42" s="234"/>
      <c r="K42" s="235"/>
      <c r="L42" s="134"/>
      <c r="P42" s="141"/>
    </row>
    <row r="43" spans="1:16" ht="18" customHeight="1" x14ac:dyDescent="0.3">
      <c r="A43" s="224" t="s">
        <v>130</v>
      </c>
      <c r="B43" s="225"/>
      <c r="C43" s="226"/>
      <c r="D43" s="105" t="s">
        <v>124</v>
      </c>
      <c r="E43" s="19">
        <f ca="1">EXP(INDEX(LINEST(LN(PPV),LN(SD2_0.5),,),1,2))</f>
        <v>37.183760357696109</v>
      </c>
      <c r="F43" s="236" t="s">
        <v>125</v>
      </c>
      <c r="G43" s="237"/>
      <c r="H43" s="237"/>
      <c r="I43" s="237"/>
      <c r="J43" s="237"/>
      <c r="K43" s="238"/>
      <c r="L43" s="134"/>
      <c r="O43" s="147"/>
      <c r="P43" s="141"/>
    </row>
    <row r="44" spans="1:16" ht="18" customHeight="1" x14ac:dyDescent="0.3">
      <c r="A44" s="227"/>
      <c r="B44" s="228"/>
      <c r="C44" s="229"/>
      <c r="D44" s="105" t="s">
        <v>121</v>
      </c>
      <c r="E44" s="19">
        <f ca="1">Ground_Vibration!N5</f>
        <v>112.57348522450845</v>
      </c>
      <c r="F44" s="236" t="s">
        <v>126</v>
      </c>
      <c r="G44" s="237"/>
      <c r="H44" s="237"/>
      <c r="I44" s="237"/>
      <c r="J44" s="237"/>
      <c r="K44" s="238"/>
      <c r="L44" s="137"/>
      <c r="O44" s="147"/>
      <c r="P44" s="141"/>
    </row>
    <row r="45" spans="1:16" ht="18" customHeight="1" x14ac:dyDescent="0.3">
      <c r="A45" s="230"/>
      <c r="B45" s="231"/>
      <c r="C45" s="232"/>
      <c r="D45" s="105" t="s">
        <v>122</v>
      </c>
      <c r="E45" s="19">
        <f ca="1">INDEX(LINEST(LN(PPV),LN(SD2_0.5),,),1)</f>
        <v>-1.1590616104651781</v>
      </c>
      <c r="F45" s="236" t="s">
        <v>127</v>
      </c>
      <c r="G45" s="237"/>
      <c r="H45" s="237"/>
      <c r="I45" s="237"/>
      <c r="J45" s="237"/>
      <c r="K45" s="238"/>
      <c r="L45" s="137"/>
      <c r="O45" s="147"/>
      <c r="P45" s="141"/>
    </row>
    <row r="46" spans="1:16" ht="18" customHeight="1" x14ac:dyDescent="0.3">
      <c r="A46" s="100"/>
      <c r="B46" s="100"/>
      <c r="C46" s="100"/>
      <c r="D46" s="100"/>
      <c r="E46" s="100"/>
      <c r="F46" s="100"/>
      <c r="G46" s="103"/>
      <c r="H46" s="103"/>
      <c r="I46" s="103"/>
      <c r="J46" s="103"/>
      <c r="K46" s="103"/>
      <c r="L46" s="137"/>
      <c r="O46" s="147"/>
      <c r="P46" s="141"/>
    </row>
    <row r="47" spans="1:16" x14ac:dyDescent="0.3">
      <c r="A47" s="148"/>
      <c r="B47" s="142"/>
      <c r="C47" s="142"/>
      <c r="D47" s="142"/>
      <c r="E47" s="142"/>
      <c r="F47" s="142"/>
      <c r="G47" s="142"/>
      <c r="H47" s="142"/>
      <c r="I47" s="142"/>
      <c r="J47" s="142"/>
      <c r="K47" s="142"/>
      <c r="L47" s="137"/>
      <c r="O47" s="147"/>
      <c r="P47" s="141"/>
    </row>
    <row r="48" spans="1:16" x14ac:dyDescent="0.3">
      <c r="A48" s="143"/>
      <c r="B48" s="143"/>
      <c r="C48" s="143"/>
      <c r="D48" s="143"/>
      <c r="E48" s="143"/>
      <c r="F48" s="143"/>
      <c r="G48" s="143"/>
      <c r="H48" s="143"/>
      <c r="I48" s="143"/>
      <c r="J48" s="143"/>
      <c r="K48" s="143"/>
      <c r="L48" s="143"/>
      <c r="O48" s="147"/>
      <c r="P48" s="141"/>
    </row>
    <row r="49" spans="1:16" x14ac:dyDescent="0.3">
      <c r="A49" s="143"/>
      <c r="B49" s="143"/>
      <c r="C49" s="143"/>
      <c r="D49" s="143"/>
      <c r="E49" s="143"/>
      <c r="F49" s="143"/>
      <c r="G49" s="143"/>
      <c r="H49" s="143"/>
      <c r="I49" s="143"/>
      <c r="J49" s="143"/>
      <c r="K49" s="143"/>
      <c r="L49" s="143"/>
      <c r="O49" s="147"/>
      <c r="P49" s="141"/>
    </row>
    <row r="50" spans="1:16" x14ac:dyDescent="0.3">
      <c r="A50" s="143"/>
      <c r="B50" s="143"/>
      <c r="C50" s="143"/>
      <c r="D50" s="143"/>
      <c r="E50" s="143"/>
      <c r="F50" s="143"/>
      <c r="G50" s="143"/>
      <c r="H50" s="143"/>
      <c r="I50" s="143"/>
      <c r="J50" s="143"/>
      <c r="K50" s="143"/>
      <c r="L50" s="143"/>
      <c r="O50" s="147"/>
      <c r="P50" s="141"/>
    </row>
    <row r="51" spans="1:16" x14ac:dyDescent="0.3">
      <c r="A51" s="143"/>
      <c r="B51" s="149"/>
      <c r="C51" s="143"/>
      <c r="D51" s="143"/>
      <c r="E51" s="143"/>
      <c r="F51" s="143"/>
      <c r="G51" s="143"/>
      <c r="H51" s="143"/>
      <c r="I51" s="143"/>
      <c r="J51" s="143"/>
      <c r="K51" s="143"/>
      <c r="L51" s="143"/>
      <c r="O51" s="147"/>
      <c r="P51" s="141"/>
    </row>
    <row r="52" spans="1:16" x14ac:dyDescent="0.3">
      <c r="A52" s="143"/>
      <c r="B52" s="134"/>
      <c r="C52" s="143"/>
      <c r="D52" s="143"/>
      <c r="E52" s="143"/>
      <c r="F52" s="143"/>
      <c r="G52" s="143"/>
      <c r="H52" s="143"/>
      <c r="I52" s="143"/>
      <c r="J52" s="143"/>
      <c r="K52" s="143"/>
      <c r="L52" s="143"/>
      <c r="O52" s="147"/>
      <c r="P52" s="141"/>
    </row>
    <row r="53" spans="1:16" x14ac:dyDescent="0.3">
      <c r="A53" s="143"/>
      <c r="B53" s="143"/>
      <c r="C53" s="143"/>
      <c r="D53" s="143"/>
      <c r="E53" s="143"/>
      <c r="F53" s="143"/>
      <c r="G53" s="143"/>
      <c r="H53" s="143"/>
      <c r="I53" s="143"/>
      <c r="J53" s="143"/>
      <c r="K53" s="143"/>
      <c r="L53" s="143"/>
      <c r="O53" s="147"/>
      <c r="P53" s="141"/>
    </row>
    <row r="54" spans="1:16" x14ac:dyDescent="0.3">
      <c r="A54" s="143"/>
      <c r="B54" s="143"/>
      <c r="C54" s="143"/>
      <c r="D54" s="143"/>
      <c r="E54" s="143"/>
      <c r="F54" s="143"/>
      <c r="G54" s="143"/>
      <c r="H54" s="143"/>
      <c r="I54" s="143"/>
      <c r="J54" s="143"/>
      <c r="K54" s="143"/>
      <c r="L54" s="143"/>
      <c r="O54" s="147"/>
      <c r="P54" s="141"/>
    </row>
    <row r="55" spans="1:16" x14ac:dyDescent="0.3">
      <c r="A55" s="143"/>
      <c r="B55" s="143"/>
      <c r="C55" s="143"/>
      <c r="D55" s="143"/>
      <c r="E55" s="143"/>
      <c r="F55" s="143"/>
      <c r="G55" s="143"/>
      <c r="H55" s="143"/>
      <c r="I55" s="143"/>
      <c r="J55" s="143"/>
      <c r="K55" s="143"/>
      <c r="L55" s="143"/>
      <c r="O55" s="147"/>
      <c r="P55" s="141"/>
    </row>
    <row r="56" spans="1:16" x14ac:dyDescent="0.3">
      <c r="O56" s="147"/>
      <c r="P56" s="141"/>
    </row>
    <row r="57" spans="1:16" x14ac:dyDescent="0.3">
      <c r="O57" s="147"/>
      <c r="P57" s="141"/>
    </row>
    <row r="58" spans="1:16" x14ac:dyDescent="0.3">
      <c r="O58" s="147"/>
      <c r="P58" s="141"/>
    </row>
    <row r="59" spans="1:16" x14ac:dyDescent="0.3">
      <c r="O59" s="147"/>
      <c r="P59" s="141"/>
    </row>
    <row r="60" spans="1:16" x14ac:dyDescent="0.3">
      <c r="O60" s="147"/>
      <c r="P60" s="141"/>
    </row>
    <row r="61" spans="1:16" x14ac:dyDescent="0.3">
      <c r="O61" s="147"/>
      <c r="P61" s="141"/>
    </row>
    <row r="62" spans="1:16" x14ac:dyDescent="0.3">
      <c r="O62" s="147"/>
      <c r="P62" s="141"/>
    </row>
    <row r="63" spans="1:16" x14ac:dyDescent="0.3">
      <c r="O63" s="147"/>
      <c r="P63" s="141"/>
    </row>
    <row r="64" spans="1:16" x14ac:dyDescent="0.3">
      <c r="O64" s="147"/>
      <c r="P64" s="141"/>
    </row>
    <row r="65" spans="15:16" x14ac:dyDescent="0.3">
      <c r="O65" s="147"/>
      <c r="P65" s="141"/>
    </row>
    <row r="66" spans="15:16" x14ac:dyDescent="0.3">
      <c r="O66" s="147"/>
      <c r="P66" s="141"/>
    </row>
    <row r="67" spans="15:16" x14ac:dyDescent="0.3">
      <c r="O67" s="147"/>
      <c r="P67" s="141"/>
    </row>
    <row r="68" spans="15:16" x14ac:dyDescent="0.3">
      <c r="O68" s="147"/>
      <c r="P68" s="141"/>
    </row>
    <row r="69" spans="15:16" x14ac:dyDescent="0.3">
      <c r="O69" s="147"/>
      <c r="P69" s="141"/>
    </row>
    <row r="70" spans="15:16" x14ac:dyDescent="0.3">
      <c r="O70" s="147"/>
      <c r="P70" s="141"/>
    </row>
    <row r="71" spans="15:16" x14ac:dyDescent="0.3">
      <c r="O71" s="147"/>
      <c r="P71" s="141"/>
    </row>
    <row r="72" spans="15:16" x14ac:dyDescent="0.3">
      <c r="O72" s="147"/>
      <c r="P72" s="141"/>
    </row>
    <row r="73" spans="15:16" x14ac:dyDescent="0.3">
      <c r="O73" s="147"/>
      <c r="P73" s="141"/>
    </row>
    <row r="74" spans="15:16" x14ac:dyDescent="0.3">
      <c r="O74" s="147"/>
      <c r="P74" s="141"/>
    </row>
    <row r="75" spans="15:16" x14ac:dyDescent="0.3">
      <c r="O75" s="147"/>
      <c r="P75" s="141"/>
    </row>
    <row r="76" spans="15:16" x14ac:dyDescent="0.3">
      <c r="O76" s="147"/>
      <c r="P76" s="141"/>
    </row>
    <row r="77" spans="15:16" x14ac:dyDescent="0.3">
      <c r="O77" s="147"/>
      <c r="P77" s="141"/>
    </row>
    <row r="78" spans="15:16" x14ac:dyDescent="0.3">
      <c r="O78" s="147"/>
      <c r="P78" s="141"/>
    </row>
    <row r="79" spans="15:16" x14ac:dyDescent="0.3">
      <c r="O79" s="147"/>
      <c r="P79" s="141"/>
    </row>
    <row r="80" spans="15:16" x14ac:dyDescent="0.3">
      <c r="O80" s="147"/>
      <c r="P80" s="141"/>
    </row>
    <row r="81" spans="15:16" x14ac:dyDescent="0.3">
      <c r="O81" s="147"/>
      <c r="P81" s="141"/>
    </row>
    <row r="82" spans="15:16" x14ac:dyDescent="0.3">
      <c r="O82" s="147"/>
      <c r="P82" s="141"/>
    </row>
    <row r="83" spans="15:16" x14ac:dyDescent="0.3">
      <c r="O83" s="147"/>
      <c r="P83" s="141"/>
    </row>
    <row r="84" spans="15:16" x14ac:dyDescent="0.3">
      <c r="O84" s="147"/>
      <c r="P84" s="141"/>
    </row>
    <row r="85" spans="15:16" x14ac:dyDescent="0.3">
      <c r="O85" s="147"/>
      <c r="P85" s="141"/>
    </row>
    <row r="86" spans="15:16" x14ac:dyDescent="0.3">
      <c r="O86" s="147"/>
      <c r="P86" s="141"/>
    </row>
    <row r="87" spans="15:16" x14ac:dyDescent="0.3">
      <c r="O87" s="147"/>
      <c r="P87" s="141"/>
    </row>
    <row r="88" spans="15:16" x14ac:dyDescent="0.3">
      <c r="O88" s="147"/>
      <c r="P88" s="141"/>
    </row>
    <row r="89" spans="15:16" x14ac:dyDescent="0.3">
      <c r="O89" s="147"/>
      <c r="P89" s="141"/>
    </row>
    <row r="90" spans="15:16" x14ac:dyDescent="0.3">
      <c r="O90" s="147"/>
      <c r="P90" s="141"/>
    </row>
    <row r="91" spans="15:16" x14ac:dyDescent="0.3">
      <c r="O91" s="147"/>
      <c r="P91" s="141"/>
    </row>
    <row r="92" spans="15:16" x14ac:dyDescent="0.3">
      <c r="O92" s="147"/>
      <c r="P92" s="141"/>
    </row>
    <row r="93" spans="15:16" x14ac:dyDescent="0.3">
      <c r="O93" s="147"/>
      <c r="P93" s="141"/>
    </row>
    <row r="94" spans="15:16" x14ac:dyDescent="0.3">
      <c r="O94" s="147"/>
      <c r="P94" s="141"/>
    </row>
    <row r="95" spans="15:16" x14ac:dyDescent="0.3">
      <c r="O95" s="147"/>
      <c r="P95" s="141"/>
    </row>
    <row r="96" spans="15:16" x14ac:dyDescent="0.3">
      <c r="O96" s="147"/>
      <c r="P96" s="141"/>
    </row>
    <row r="97" spans="15:16" x14ac:dyDescent="0.3">
      <c r="O97" s="147"/>
      <c r="P97" s="141"/>
    </row>
    <row r="98" spans="15:16" x14ac:dyDescent="0.3">
      <c r="O98" s="147"/>
      <c r="P98" s="141"/>
    </row>
    <row r="99" spans="15:16" x14ac:dyDescent="0.3">
      <c r="O99" s="147"/>
      <c r="P99" s="141"/>
    </row>
    <row r="100" spans="15:16" x14ac:dyDescent="0.3">
      <c r="O100" s="147"/>
      <c r="P100" s="141"/>
    </row>
    <row r="101" spans="15:16" x14ac:dyDescent="0.3">
      <c r="O101" s="147"/>
      <c r="P101" s="141"/>
    </row>
    <row r="102" spans="15:16" x14ac:dyDescent="0.3">
      <c r="O102" s="147"/>
      <c r="P102" s="141"/>
    </row>
    <row r="103" spans="15:16" x14ac:dyDescent="0.3">
      <c r="O103" s="147"/>
      <c r="P103" s="141"/>
    </row>
    <row r="104" spans="15:16" x14ac:dyDescent="0.3">
      <c r="O104" s="147"/>
      <c r="P104" s="141"/>
    </row>
    <row r="105" spans="15:16" x14ac:dyDescent="0.3">
      <c r="O105" s="147"/>
      <c r="P105" s="141"/>
    </row>
    <row r="106" spans="15:16" x14ac:dyDescent="0.3">
      <c r="O106" s="147"/>
      <c r="P106" s="141"/>
    </row>
    <row r="107" spans="15:16" x14ac:dyDescent="0.3">
      <c r="O107" s="147"/>
      <c r="P107" s="141"/>
    </row>
    <row r="108" spans="15:16" x14ac:dyDescent="0.3">
      <c r="O108" s="147"/>
      <c r="P108" s="141"/>
    </row>
    <row r="109" spans="15:16" x14ac:dyDescent="0.3">
      <c r="O109" s="147"/>
      <c r="P109" s="141"/>
    </row>
    <row r="110" spans="15:16" x14ac:dyDescent="0.3">
      <c r="O110" s="147"/>
      <c r="P110" s="141"/>
    </row>
    <row r="111" spans="15:16" x14ac:dyDescent="0.3">
      <c r="O111" s="147"/>
      <c r="P111" s="141"/>
    </row>
    <row r="112" spans="15:16" x14ac:dyDescent="0.3">
      <c r="O112" s="147"/>
      <c r="P112" s="141"/>
    </row>
    <row r="113" spans="15:16" x14ac:dyDescent="0.3">
      <c r="O113" s="147"/>
      <c r="P113" s="141"/>
    </row>
    <row r="114" spans="15:16" x14ac:dyDescent="0.3">
      <c r="O114" s="147"/>
      <c r="P114" s="141"/>
    </row>
    <row r="115" spans="15:16" x14ac:dyDescent="0.3">
      <c r="O115" s="147"/>
      <c r="P115" s="141"/>
    </row>
    <row r="116" spans="15:16" x14ac:dyDescent="0.3">
      <c r="O116" s="147"/>
      <c r="P116" s="141"/>
    </row>
    <row r="117" spans="15:16" x14ac:dyDescent="0.3">
      <c r="O117" s="147"/>
      <c r="P117" s="141"/>
    </row>
    <row r="118" spans="15:16" x14ac:dyDescent="0.3">
      <c r="O118" s="147"/>
      <c r="P118" s="141"/>
    </row>
    <row r="119" spans="15:16" x14ac:dyDescent="0.3">
      <c r="O119" s="147"/>
      <c r="P119" s="141"/>
    </row>
    <row r="120" spans="15:16" x14ac:dyDescent="0.3">
      <c r="O120" s="147"/>
      <c r="P120" s="141"/>
    </row>
    <row r="121" spans="15:16" x14ac:dyDescent="0.3">
      <c r="O121" s="147"/>
      <c r="P121" s="141"/>
    </row>
    <row r="122" spans="15:16" x14ac:dyDescent="0.3">
      <c r="O122" s="147"/>
      <c r="P122" s="141"/>
    </row>
    <row r="123" spans="15:16" x14ac:dyDescent="0.3">
      <c r="O123" s="147"/>
      <c r="P123" s="141"/>
    </row>
    <row r="124" spans="15:16" x14ac:dyDescent="0.3">
      <c r="O124" s="147"/>
      <c r="P124" s="141"/>
    </row>
    <row r="125" spans="15:16" x14ac:dyDescent="0.3">
      <c r="O125" s="147"/>
      <c r="P125" s="141"/>
    </row>
    <row r="126" spans="15:16" x14ac:dyDescent="0.3">
      <c r="O126" s="147"/>
      <c r="P126" s="141"/>
    </row>
    <row r="127" spans="15:16" x14ac:dyDescent="0.3">
      <c r="O127" s="147"/>
      <c r="P127" s="141"/>
    </row>
    <row r="128" spans="15:16" x14ac:dyDescent="0.3">
      <c r="O128" s="147"/>
      <c r="P128" s="141"/>
    </row>
    <row r="129" spans="15:16" x14ac:dyDescent="0.3">
      <c r="O129" s="147"/>
      <c r="P129" s="141"/>
    </row>
    <row r="130" spans="15:16" x14ac:dyDescent="0.3">
      <c r="O130" s="147"/>
      <c r="P130" s="141"/>
    </row>
    <row r="131" spans="15:16" x14ac:dyDescent="0.3">
      <c r="O131" s="147"/>
      <c r="P131" s="141"/>
    </row>
    <row r="132" spans="15:16" x14ac:dyDescent="0.3">
      <c r="O132" s="147"/>
      <c r="P132" s="141"/>
    </row>
    <row r="133" spans="15:16" x14ac:dyDescent="0.3">
      <c r="O133" s="147"/>
      <c r="P133" s="141"/>
    </row>
    <row r="134" spans="15:16" x14ac:dyDescent="0.3">
      <c r="O134" s="147"/>
      <c r="P134" s="141"/>
    </row>
    <row r="135" spans="15:16" x14ac:dyDescent="0.3">
      <c r="O135" s="147"/>
      <c r="P135" s="141"/>
    </row>
    <row r="136" spans="15:16" x14ac:dyDescent="0.3">
      <c r="O136" s="147"/>
      <c r="P136" s="141"/>
    </row>
    <row r="137" spans="15:16" x14ac:dyDescent="0.3">
      <c r="O137" s="147"/>
      <c r="P137" s="141"/>
    </row>
    <row r="138" spans="15:16" x14ac:dyDescent="0.3">
      <c r="O138" s="147"/>
      <c r="P138" s="141"/>
    </row>
    <row r="139" spans="15:16" x14ac:dyDescent="0.3">
      <c r="O139" s="147"/>
      <c r="P139" s="141"/>
    </row>
    <row r="140" spans="15:16" x14ac:dyDescent="0.3">
      <c r="O140" s="147"/>
      <c r="P140" s="141"/>
    </row>
    <row r="141" spans="15:16" x14ac:dyDescent="0.3">
      <c r="O141" s="147"/>
      <c r="P141" s="141"/>
    </row>
    <row r="142" spans="15:16" x14ac:dyDescent="0.3">
      <c r="O142" s="147"/>
      <c r="P142" s="141"/>
    </row>
    <row r="143" spans="15:16" x14ac:dyDescent="0.3">
      <c r="O143" s="147"/>
      <c r="P143" s="141"/>
    </row>
    <row r="144" spans="15:16" x14ac:dyDescent="0.3">
      <c r="O144" s="147"/>
      <c r="P144" s="141"/>
    </row>
    <row r="145" spans="15:16" x14ac:dyDescent="0.3">
      <c r="O145" s="147"/>
      <c r="P145" s="141"/>
    </row>
    <row r="146" spans="15:16" x14ac:dyDescent="0.3">
      <c r="O146" s="147"/>
      <c r="P146" s="141"/>
    </row>
    <row r="147" spans="15:16" x14ac:dyDescent="0.3">
      <c r="O147" s="147"/>
      <c r="P147" s="141"/>
    </row>
    <row r="148" spans="15:16" x14ac:dyDescent="0.3">
      <c r="O148" s="147"/>
      <c r="P148" s="141"/>
    </row>
    <row r="149" spans="15:16" x14ac:dyDescent="0.3">
      <c r="O149" s="147"/>
      <c r="P149" s="141"/>
    </row>
    <row r="150" spans="15:16" x14ac:dyDescent="0.3">
      <c r="O150" s="147"/>
      <c r="P150" s="141"/>
    </row>
    <row r="151" spans="15:16" x14ac:dyDescent="0.3">
      <c r="O151" s="147"/>
      <c r="P151" s="141"/>
    </row>
    <row r="152" spans="15:16" x14ac:dyDescent="0.3">
      <c r="O152" s="147"/>
      <c r="P152" s="141"/>
    </row>
    <row r="153" spans="15:16" x14ac:dyDescent="0.3">
      <c r="O153" s="147"/>
      <c r="P153" s="141"/>
    </row>
    <row r="154" spans="15:16" x14ac:dyDescent="0.3">
      <c r="O154" s="147"/>
      <c r="P154" s="141"/>
    </row>
    <row r="155" spans="15:16" x14ac:dyDescent="0.3">
      <c r="O155" s="147"/>
      <c r="P155" s="141"/>
    </row>
    <row r="156" spans="15:16" x14ac:dyDescent="0.3">
      <c r="O156" s="147"/>
      <c r="P156" s="141"/>
    </row>
    <row r="157" spans="15:16" x14ac:dyDescent="0.3">
      <c r="O157" s="147"/>
      <c r="P157" s="141"/>
    </row>
    <row r="158" spans="15:16" x14ac:dyDescent="0.3">
      <c r="O158" s="147"/>
      <c r="P158" s="141"/>
    </row>
    <row r="159" spans="15:16" x14ac:dyDescent="0.3">
      <c r="O159" s="147"/>
      <c r="P159" s="141"/>
    </row>
    <row r="160" spans="15:16" x14ac:dyDescent="0.3">
      <c r="O160" s="147"/>
      <c r="P160" s="141"/>
    </row>
    <row r="161" spans="15:16" x14ac:dyDescent="0.3">
      <c r="O161" s="147"/>
      <c r="P161" s="141"/>
    </row>
    <row r="162" spans="15:16" x14ac:dyDescent="0.3">
      <c r="O162" s="147"/>
      <c r="P162" s="141"/>
    </row>
    <row r="163" spans="15:16" x14ac:dyDescent="0.3">
      <c r="O163" s="147"/>
      <c r="P163" s="141"/>
    </row>
    <row r="164" spans="15:16" x14ac:dyDescent="0.3">
      <c r="O164" s="147"/>
      <c r="P164" s="141"/>
    </row>
    <row r="165" spans="15:16" x14ac:dyDescent="0.3">
      <c r="O165" s="147"/>
      <c r="P165" s="141"/>
    </row>
    <row r="166" spans="15:16" x14ac:dyDescent="0.3">
      <c r="O166" s="147"/>
      <c r="P166" s="141"/>
    </row>
    <row r="167" spans="15:16" x14ac:dyDescent="0.3">
      <c r="O167" s="147"/>
      <c r="P167" s="141"/>
    </row>
    <row r="168" spans="15:16" x14ac:dyDescent="0.3">
      <c r="O168" s="147"/>
      <c r="P168" s="141"/>
    </row>
    <row r="169" spans="15:16" x14ac:dyDescent="0.3">
      <c r="O169" s="147"/>
      <c r="P169" s="141"/>
    </row>
    <row r="170" spans="15:16" x14ac:dyDescent="0.3">
      <c r="O170" s="147"/>
      <c r="P170" s="141"/>
    </row>
    <row r="171" spans="15:16" x14ac:dyDescent="0.3">
      <c r="O171" s="147"/>
      <c r="P171" s="141"/>
    </row>
    <row r="172" spans="15:16" x14ac:dyDescent="0.3">
      <c r="O172" s="147"/>
      <c r="P172" s="141"/>
    </row>
    <row r="173" spans="15:16" x14ac:dyDescent="0.3">
      <c r="O173" s="147"/>
      <c r="P173" s="141"/>
    </row>
    <row r="174" spans="15:16" x14ac:dyDescent="0.3">
      <c r="O174" s="147"/>
      <c r="P174" s="141"/>
    </row>
    <row r="175" spans="15:16" x14ac:dyDescent="0.3">
      <c r="O175" s="147"/>
      <c r="P175" s="141"/>
    </row>
    <row r="176" spans="15:16" x14ac:dyDescent="0.3">
      <c r="O176" s="147"/>
      <c r="P176" s="141"/>
    </row>
    <row r="177" spans="15:16" x14ac:dyDescent="0.3">
      <c r="O177" s="147"/>
      <c r="P177" s="141"/>
    </row>
    <row r="178" spans="15:16" x14ac:dyDescent="0.3">
      <c r="O178" s="147"/>
      <c r="P178" s="141"/>
    </row>
    <row r="179" spans="15:16" x14ac:dyDescent="0.3">
      <c r="O179" s="147"/>
      <c r="P179" s="141"/>
    </row>
    <row r="180" spans="15:16" x14ac:dyDescent="0.3">
      <c r="O180" s="147"/>
      <c r="P180" s="141"/>
    </row>
    <row r="181" spans="15:16" x14ac:dyDescent="0.3">
      <c r="O181" s="147"/>
      <c r="P181" s="141"/>
    </row>
    <row r="182" spans="15:16" x14ac:dyDescent="0.3">
      <c r="O182" s="147"/>
      <c r="P182" s="141"/>
    </row>
    <row r="183" spans="15:16" x14ac:dyDescent="0.3">
      <c r="O183" s="147"/>
      <c r="P183" s="141"/>
    </row>
    <row r="184" spans="15:16" x14ac:dyDescent="0.3">
      <c r="O184" s="147"/>
      <c r="P184" s="141"/>
    </row>
    <row r="185" spans="15:16" x14ac:dyDescent="0.3">
      <c r="O185" s="147"/>
      <c r="P185" s="141"/>
    </row>
    <row r="186" spans="15:16" x14ac:dyDescent="0.3">
      <c r="O186" s="147"/>
      <c r="P186" s="141"/>
    </row>
    <row r="187" spans="15:16" x14ac:dyDescent="0.3">
      <c r="O187" s="147"/>
      <c r="P187" s="141"/>
    </row>
    <row r="188" spans="15:16" x14ac:dyDescent="0.3">
      <c r="O188" s="147"/>
      <c r="P188" s="141"/>
    </row>
    <row r="189" spans="15:16" x14ac:dyDescent="0.3">
      <c r="O189" s="147"/>
      <c r="P189" s="141"/>
    </row>
    <row r="190" spans="15:16" x14ac:dyDescent="0.3">
      <c r="O190" s="147"/>
      <c r="P190" s="141"/>
    </row>
    <row r="191" spans="15:16" x14ac:dyDescent="0.3">
      <c r="O191" s="147"/>
      <c r="P191" s="141"/>
    </row>
    <row r="192" spans="15:16" x14ac:dyDescent="0.3">
      <c r="O192" s="147"/>
      <c r="P192" s="141"/>
    </row>
    <row r="193" spans="15:16" x14ac:dyDescent="0.3">
      <c r="O193" s="147"/>
      <c r="P193" s="141"/>
    </row>
    <row r="194" spans="15:16" x14ac:dyDescent="0.3">
      <c r="O194" s="147"/>
      <c r="P194" s="141"/>
    </row>
    <row r="195" spans="15:16" x14ac:dyDescent="0.3">
      <c r="O195" s="147"/>
      <c r="P195" s="141"/>
    </row>
    <row r="196" spans="15:16" x14ac:dyDescent="0.3">
      <c r="O196" s="147"/>
      <c r="P196" s="141"/>
    </row>
    <row r="197" spans="15:16" x14ac:dyDescent="0.3">
      <c r="O197" s="147"/>
      <c r="P197" s="141"/>
    </row>
    <row r="198" spans="15:16" x14ac:dyDescent="0.3">
      <c r="O198" s="147"/>
      <c r="P198" s="141"/>
    </row>
    <row r="199" spans="15:16" x14ac:dyDescent="0.3">
      <c r="O199" s="147"/>
      <c r="P199" s="141"/>
    </row>
    <row r="200" spans="15:16" x14ac:dyDescent="0.3">
      <c r="O200" s="147"/>
      <c r="P200" s="141"/>
    </row>
    <row r="201" spans="15:16" x14ac:dyDescent="0.3">
      <c r="O201" s="147"/>
      <c r="P201" s="141"/>
    </row>
    <row r="202" spans="15:16" x14ac:dyDescent="0.3">
      <c r="O202" s="147"/>
      <c r="P202" s="141"/>
    </row>
    <row r="203" spans="15:16" x14ac:dyDescent="0.3">
      <c r="O203" s="147"/>
      <c r="P203" s="141"/>
    </row>
    <row r="204" spans="15:16" x14ac:dyDescent="0.3">
      <c r="O204" s="147"/>
      <c r="P204" s="141"/>
    </row>
    <row r="205" spans="15:16" x14ac:dyDescent="0.3">
      <c r="O205" s="147"/>
      <c r="P205" s="141"/>
    </row>
    <row r="206" spans="15:16" x14ac:dyDescent="0.3">
      <c r="O206" s="147"/>
      <c r="P206" s="141"/>
    </row>
    <row r="207" spans="15:16" x14ac:dyDescent="0.3">
      <c r="O207" s="147"/>
      <c r="P207" s="141"/>
    </row>
    <row r="208" spans="15:16" x14ac:dyDescent="0.3">
      <c r="O208" s="147"/>
      <c r="P208" s="141"/>
    </row>
    <row r="209" spans="15:16" x14ac:dyDescent="0.3">
      <c r="O209" s="147"/>
      <c r="P209" s="141"/>
    </row>
    <row r="210" spans="15:16" x14ac:dyDescent="0.3">
      <c r="O210" s="147"/>
      <c r="P210" s="141"/>
    </row>
    <row r="211" spans="15:16" x14ac:dyDescent="0.3">
      <c r="O211" s="147"/>
      <c r="P211" s="141"/>
    </row>
    <row r="212" spans="15:16" x14ac:dyDescent="0.3">
      <c r="O212" s="147"/>
      <c r="P212" s="141"/>
    </row>
    <row r="213" spans="15:16" x14ac:dyDescent="0.3">
      <c r="O213" s="147"/>
      <c r="P213" s="141"/>
    </row>
    <row r="214" spans="15:16" x14ac:dyDescent="0.3">
      <c r="O214" s="147"/>
      <c r="P214" s="141"/>
    </row>
    <row r="215" spans="15:16" x14ac:dyDescent="0.3">
      <c r="O215" s="147"/>
      <c r="P215" s="141"/>
    </row>
    <row r="216" spans="15:16" x14ac:dyDescent="0.3">
      <c r="O216" s="147"/>
      <c r="P216" s="141"/>
    </row>
    <row r="217" spans="15:16" x14ac:dyDescent="0.3">
      <c r="O217" s="147"/>
      <c r="P217" s="141"/>
    </row>
    <row r="218" spans="15:16" x14ac:dyDescent="0.3">
      <c r="O218" s="147"/>
      <c r="P218" s="141"/>
    </row>
    <row r="219" spans="15:16" x14ac:dyDescent="0.3">
      <c r="O219" s="147"/>
      <c r="P219" s="141"/>
    </row>
    <row r="220" spans="15:16" x14ac:dyDescent="0.3">
      <c r="O220" s="147"/>
      <c r="P220" s="141"/>
    </row>
    <row r="221" spans="15:16" x14ac:dyDescent="0.3">
      <c r="O221" s="147"/>
      <c r="P221" s="141"/>
    </row>
    <row r="222" spans="15:16" x14ac:dyDescent="0.3">
      <c r="O222" s="147"/>
      <c r="P222" s="141"/>
    </row>
    <row r="223" spans="15:16" x14ac:dyDescent="0.3">
      <c r="O223" s="147"/>
      <c r="P223" s="141"/>
    </row>
    <row r="224" spans="15:16" x14ac:dyDescent="0.3">
      <c r="O224" s="147"/>
      <c r="P224" s="141"/>
    </row>
    <row r="225" spans="15:16" x14ac:dyDescent="0.3">
      <c r="O225" s="147"/>
      <c r="P225" s="141"/>
    </row>
    <row r="226" spans="15:16" x14ac:dyDescent="0.3">
      <c r="O226" s="147"/>
      <c r="P226" s="141"/>
    </row>
    <row r="227" spans="15:16" x14ac:dyDescent="0.3">
      <c r="O227" s="147"/>
      <c r="P227" s="141"/>
    </row>
    <row r="228" spans="15:16" x14ac:dyDescent="0.3">
      <c r="O228" s="147"/>
    </row>
    <row r="229" spans="15:16" x14ac:dyDescent="0.3">
      <c r="O229" s="147"/>
    </row>
    <row r="230" spans="15:16" x14ac:dyDescent="0.3">
      <c r="O230" s="147"/>
    </row>
    <row r="231" spans="15:16" x14ac:dyDescent="0.3">
      <c r="O231" s="147"/>
    </row>
    <row r="232" spans="15:16" x14ac:dyDescent="0.3">
      <c r="O232" s="147"/>
    </row>
    <row r="233" spans="15:16" x14ac:dyDescent="0.3">
      <c r="O233" s="147"/>
    </row>
    <row r="234" spans="15:16" x14ac:dyDescent="0.3">
      <c r="O234" s="147"/>
    </row>
    <row r="235" spans="15:16" x14ac:dyDescent="0.3">
      <c r="O235" s="147"/>
    </row>
    <row r="236" spans="15:16" x14ac:dyDescent="0.3">
      <c r="O236" s="147"/>
    </row>
    <row r="237" spans="15:16" x14ac:dyDescent="0.3">
      <c r="O237" s="147"/>
    </row>
    <row r="238" spans="15:16" x14ac:dyDescent="0.3">
      <c r="O238" s="147"/>
    </row>
    <row r="239" spans="15:16" x14ac:dyDescent="0.3">
      <c r="O239" s="147"/>
    </row>
    <row r="240" spans="15:16" x14ac:dyDescent="0.3">
      <c r="O240" s="147"/>
    </row>
    <row r="241" spans="15:15" x14ac:dyDescent="0.3">
      <c r="O241" s="147"/>
    </row>
    <row r="242" spans="15:15" x14ac:dyDescent="0.3">
      <c r="O242" s="147"/>
    </row>
    <row r="243" spans="15:15" x14ac:dyDescent="0.3">
      <c r="O243" s="147"/>
    </row>
    <row r="244" spans="15:15" x14ac:dyDescent="0.3">
      <c r="O244" s="147"/>
    </row>
    <row r="245" spans="15:15" x14ac:dyDescent="0.3">
      <c r="O245" s="147"/>
    </row>
    <row r="246" spans="15:15" x14ac:dyDescent="0.3">
      <c r="O246" s="147"/>
    </row>
    <row r="247" spans="15:15" x14ac:dyDescent="0.3">
      <c r="O247" s="147"/>
    </row>
    <row r="248" spans="15:15" x14ac:dyDescent="0.3">
      <c r="O248" s="147"/>
    </row>
    <row r="249" spans="15:15" x14ac:dyDescent="0.3">
      <c r="O249" s="147"/>
    </row>
    <row r="250" spans="15:15" x14ac:dyDescent="0.3">
      <c r="O250" s="147"/>
    </row>
    <row r="251" spans="15:15" x14ac:dyDescent="0.3">
      <c r="O251" s="147"/>
    </row>
    <row r="252" spans="15:15" x14ac:dyDescent="0.3">
      <c r="O252" s="147"/>
    </row>
    <row r="253" spans="15:15" x14ac:dyDescent="0.3">
      <c r="O253" s="147"/>
    </row>
    <row r="254" spans="15:15" x14ac:dyDescent="0.3">
      <c r="O254" s="147"/>
    </row>
    <row r="255" spans="15:15" x14ac:dyDescent="0.3">
      <c r="O255" s="147"/>
    </row>
    <row r="256" spans="15:15" x14ac:dyDescent="0.3">
      <c r="O256" s="147"/>
    </row>
    <row r="257" spans="15:15" x14ac:dyDescent="0.3">
      <c r="O257" s="147"/>
    </row>
    <row r="258" spans="15:15" x14ac:dyDescent="0.3">
      <c r="O258" s="147"/>
    </row>
    <row r="259" spans="15:15" x14ac:dyDescent="0.3">
      <c r="O259" s="147"/>
    </row>
    <row r="260" spans="15:15" x14ac:dyDescent="0.3">
      <c r="O260" s="147"/>
    </row>
    <row r="261" spans="15:15" x14ac:dyDescent="0.3">
      <c r="O261" s="147"/>
    </row>
    <row r="262" spans="15:15" x14ac:dyDescent="0.3">
      <c r="O262" s="147"/>
    </row>
    <row r="263" spans="15:15" x14ac:dyDescent="0.3">
      <c r="O263" s="147"/>
    </row>
    <row r="264" spans="15:15" x14ac:dyDescent="0.3">
      <c r="O264" s="147"/>
    </row>
    <row r="265" spans="15:15" x14ac:dyDescent="0.3">
      <c r="O265" s="147"/>
    </row>
    <row r="266" spans="15:15" x14ac:dyDescent="0.3">
      <c r="O266" s="147"/>
    </row>
    <row r="267" spans="15:15" x14ac:dyDescent="0.3">
      <c r="O267" s="147"/>
    </row>
    <row r="268" spans="15:15" x14ac:dyDescent="0.3">
      <c r="O268" s="147"/>
    </row>
    <row r="269" spans="15:15" x14ac:dyDescent="0.3">
      <c r="O269" s="147"/>
    </row>
    <row r="270" spans="15:15" x14ac:dyDescent="0.3">
      <c r="O270" s="147"/>
    </row>
    <row r="271" spans="15:15" x14ac:dyDescent="0.3">
      <c r="O271" s="147"/>
    </row>
    <row r="272" spans="15:15" x14ac:dyDescent="0.3">
      <c r="O272" s="147"/>
    </row>
    <row r="273" spans="15:15" x14ac:dyDescent="0.3">
      <c r="O273" s="147"/>
    </row>
    <row r="274" spans="15:15" x14ac:dyDescent="0.3">
      <c r="O274" s="147"/>
    </row>
    <row r="275" spans="15:15" x14ac:dyDescent="0.3">
      <c r="O275" s="147"/>
    </row>
    <row r="276" spans="15:15" x14ac:dyDescent="0.3">
      <c r="O276" s="147"/>
    </row>
    <row r="277" spans="15:15" x14ac:dyDescent="0.3">
      <c r="O277" s="147"/>
    </row>
    <row r="278" spans="15:15" x14ac:dyDescent="0.3">
      <c r="O278" s="147"/>
    </row>
    <row r="279" spans="15:15" x14ac:dyDescent="0.3">
      <c r="O279" s="147"/>
    </row>
    <row r="280" spans="15:15" x14ac:dyDescent="0.3">
      <c r="O280" s="147"/>
    </row>
    <row r="281" spans="15:15" x14ac:dyDescent="0.3">
      <c r="O281" s="147"/>
    </row>
    <row r="282" spans="15:15" x14ac:dyDescent="0.3">
      <c r="O282" s="147"/>
    </row>
    <row r="283" spans="15:15" x14ac:dyDescent="0.3">
      <c r="O283" s="147"/>
    </row>
    <row r="284" spans="15:15" x14ac:dyDescent="0.3">
      <c r="O284" s="147"/>
    </row>
    <row r="285" spans="15:15" x14ac:dyDescent="0.3">
      <c r="O285" s="147"/>
    </row>
    <row r="286" spans="15:15" x14ac:dyDescent="0.3">
      <c r="O286" s="147"/>
    </row>
    <row r="287" spans="15:15" x14ac:dyDescent="0.3">
      <c r="O287" s="147"/>
    </row>
    <row r="288" spans="15:15" x14ac:dyDescent="0.3">
      <c r="O288" s="147"/>
    </row>
    <row r="289" spans="15:15" x14ac:dyDescent="0.3">
      <c r="O289" s="147"/>
    </row>
    <row r="290" spans="15:15" x14ac:dyDescent="0.3">
      <c r="O290" s="147"/>
    </row>
    <row r="291" spans="15:15" x14ac:dyDescent="0.3">
      <c r="O291" s="147"/>
    </row>
  </sheetData>
  <sheetProtection selectLockedCells="1"/>
  <mergeCells count="6">
    <mergeCell ref="M12:O15"/>
    <mergeCell ref="A43:C45"/>
    <mergeCell ref="A42:K42"/>
    <mergeCell ref="F43:K43"/>
    <mergeCell ref="F44:K44"/>
    <mergeCell ref="F45:K45"/>
  </mergeCells>
  <conditionalFormatting sqref="A1:XFD1048576">
    <cfRule type="containsErrors" dxfId="4" priority="1">
      <formula>ISERROR(A1)</formula>
    </cfRule>
  </conditionalFormatting>
  <printOptions horizontalCentered="1" verticalCentered="1"/>
  <pageMargins left="0.25" right="0.25" top="0.75" bottom="0.75" header="0.3" footer="0.3"/>
  <pageSetup orientation="portrait" r:id="rId1"/>
  <headerFooter>
    <oddHeader>&amp;C&amp;"Arial,Bold"&amp;12OSMRE Blast-Induced Vibration Data Evaluation</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T291"/>
  <sheetViews>
    <sheetView view="pageBreakPreview" zoomScaleNormal="100" zoomScaleSheetLayoutView="100" workbookViewId="0">
      <selection activeCell="L1" sqref="L1"/>
    </sheetView>
  </sheetViews>
  <sheetFormatPr defaultColWidth="9.109375" defaultRowHeight="14.4" x14ac:dyDescent="0.3"/>
  <cols>
    <col min="1" max="1" width="9.109375" style="140" customWidth="1"/>
    <col min="2" max="5" width="9.109375" style="140"/>
    <col min="6" max="6" width="9.109375" style="140" customWidth="1"/>
    <col min="7" max="12" width="9.109375" style="140"/>
    <col min="13" max="13" width="51.44140625" style="139" customWidth="1"/>
    <col min="14" max="17" width="16" style="139" customWidth="1"/>
    <col min="18" max="16384" width="9.109375" style="140"/>
  </cols>
  <sheetData>
    <row r="1" spans="1:20" s="30" customFormat="1" ht="15" customHeight="1" x14ac:dyDescent="0.25">
      <c r="A1" s="20" t="s">
        <v>56</v>
      </c>
      <c r="B1" s="21" t="str">
        <f>Input_Data!H1</f>
        <v>Pittsburgh Mine</v>
      </c>
      <c r="C1" s="22"/>
      <c r="D1" s="23"/>
      <c r="E1" s="23"/>
      <c r="F1" s="24"/>
      <c r="G1" s="25"/>
      <c r="H1" s="25" t="s">
        <v>50</v>
      </c>
      <c r="I1" s="21" t="str">
        <f>Input_Data!C1</f>
        <v>OSMRE</v>
      </c>
      <c r="J1" s="22"/>
      <c r="K1" s="23"/>
      <c r="L1" s="25"/>
      <c r="M1" s="114" t="s">
        <v>102</v>
      </c>
      <c r="N1" s="115"/>
      <c r="O1" s="92"/>
      <c r="P1" s="130"/>
      <c r="Q1" s="130"/>
    </row>
    <row r="2" spans="1:20" s="30" customFormat="1" ht="15" customHeight="1" x14ac:dyDescent="0.25">
      <c r="A2" s="20" t="s">
        <v>66</v>
      </c>
      <c r="B2" s="26" t="str">
        <f>Input_Data!H2</f>
        <v>D-12345</v>
      </c>
      <c r="C2" s="27"/>
      <c r="D2" s="27"/>
      <c r="E2" s="27"/>
      <c r="F2" s="26"/>
      <c r="G2" s="25"/>
      <c r="H2" s="25" t="s">
        <v>52</v>
      </c>
      <c r="I2" s="28">
        <f>Input_Data!M1</f>
        <v>43466</v>
      </c>
      <c r="J2" s="29"/>
      <c r="K2" s="27"/>
      <c r="L2" s="131"/>
      <c r="M2" s="93" t="s">
        <v>79</v>
      </c>
      <c r="N2" s="12">
        <f ca="1">ROUNDDOWN(MIN(SD3_0.33),0)</f>
        <v>6</v>
      </c>
      <c r="O2" s="94"/>
      <c r="P2" s="130"/>
      <c r="Q2" s="130"/>
    </row>
    <row r="3" spans="1:20" s="30" customFormat="1" ht="15" customHeight="1" x14ac:dyDescent="0.25">
      <c r="A3" s="30" t="s">
        <v>51</v>
      </c>
      <c r="B3" s="31" t="str">
        <f>Input_Data!C2</f>
        <v>Top Flight Blasting</v>
      </c>
      <c r="C3" s="29"/>
      <c r="D3" s="29"/>
      <c r="E3" s="29"/>
      <c r="F3" s="29"/>
      <c r="H3" s="32" t="s">
        <v>67</v>
      </c>
      <c r="I3" s="31" t="str">
        <f>Input_Data!M2</f>
        <v>Brian Farmer, P.E.</v>
      </c>
      <c r="J3" s="29"/>
      <c r="K3" s="29"/>
      <c r="L3" s="132"/>
      <c r="M3" s="95" t="s">
        <v>80</v>
      </c>
      <c r="N3" s="12">
        <f ca="1">ROUNDUP((MAX(SD3_0.33)),-2)</f>
        <v>600</v>
      </c>
      <c r="O3" s="94"/>
      <c r="P3" s="130"/>
      <c r="Q3" s="130"/>
    </row>
    <row r="4" spans="1:20" s="134" customFormat="1" ht="15" customHeight="1" x14ac:dyDescent="0.25">
      <c r="A4" s="133"/>
      <c r="B4" s="133"/>
      <c r="L4" s="135"/>
      <c r="M4" s="96" t="s">
        <v>118</v>
      </c>
      <c r="N4" s="106">
        <f ca="1">10^(STEYX(Log_Ab_psi,Log_SD3))</f>
        <v>1.4759579229217903</v>
      </c>
      <c r="O4" s="97"/>
      <c r="P4" s="136"/>
      <c r="Q4" s="100"/>
    </row>
    <row r="5" spans="1:20" s="134" customFormat="1" ht="15" customHeight="1" x14ac:dyDescent="0.25">
      <c r="J5" s="137"/>
      <c r="L5" s="135"/>
      <c r="M5" s="98" t="s">
        <v>73</v>
      </c>
      <c r="N5" s="106">
        <f ca="1">(AirBlast!E43*N4)*N4</f>
        <v>0.47858759212011281</v>
      </c>
      <c r="O5" s="97"/>
      <c r="P5" s="136"/>
      <c r="Q5" s="100"/>
    </row>
    <row r="6" spans="1:20" s="134" customFormat="1" ht="15" customHeight="1" x14ac:dyDescent="0.25">
      <c r="M6" s="98" t="s">
        <v>107</v>
      </c>
      <c r="N6" s="106">
        <f ca="1">N5*(N2^AirBlast!E45)</f>
        <v>9.8423088575857895E-2</v>
      </c>
      <c r="O6" s="97"/>
      <c r="P6" s="136"/>
      <c r="Q6" s="100"/>
    </row>
    <row r="7" spans="1:20" s="134" customFormat="1" ht="15" customHeight="1" x14ac:dyDescent="0.25">
      <c r="M7" s="99" t="s">
        <v>108</v>
      </c>
      <c r="N7" s="107">
        <f ca="1">N5*(N3^AirBlast!E45)</f>
        <v>1.6893585164698441E-3</v>
      </c>
      <c r="O7" s="116"/>
      <c r="P7" s="136"/>
      <c r="Q7" s="100"/>
    </row>
    <row r="8" spans="1:20" s="134" customFormat="1" ht="15" customHeight="1" x14ac:dyDescent="0.25">
      <c r="M8" s="166"/>
      <c r="N8" s="116"/>
      <c r="O8" s="129"/>
      <c r="P8" s="136"/>
      <c r="Q8" s="100"/>
    </row>
    <row r="9" spans="1:20" ht="15" customHeight="1" x14ac:dyDescent="0.3">
      <c r="A9" s="134"/>
      <c r="B9" s="134"/>
      <c r="C9" s="134"/>
      <c r="D9" s="134"/>
      <c r="E9" s="134"/>
      <c r="F9" s="134"/>
      <c r="G9" s="134"/>
      <c r="H9" s="134"/>
      <c r="I9" s="134"/>
      <c r="J9" s="134"/>
      <c r="K9" s="134"/>
      <c r="L9" s="134"/>
      <c r="M9" s="117" t="s">
        <v>104</v>
      </c>
      <c r="N9" s="118" t="s">
        <v>105</v>
      </c>
      <c r="O9" s="119" t="s">
        <v>106</v>
      </c>
      <c r="P9" s="138"/>
    </row>
    <row r="10" spans="1:20" ht="15" customHeight="1" x14ac:dyDescent="0.3">
      <c r="A10" s="134"/>
      <c r="B10" s="134"/>
      <c r="C10" s="134"/>
      <c r="D10" s="134"/>
      <c r="E10" s="134"/>
      <c r="F10" s="134"/>
      <c r="G10" s="134"/>
      <c r="H10" s="134"/>
      <c r="I10" s="134"/>
      <c r="J10" s="134"/>
      <c r="K10" s="134"/>
      <c r="L10" s="134"/>
      <c r="M10" s="96" t="s">
        <v>109</v>
      </c>
      <c r="N10" s="108">
        <f ca="1">169*(N2^-1.62)</f>
        <v>9.2743115078031497</v>
      </c>
      <c r="O10" s="109">
        <f ca="1">169*(N3^-1.62)</f>
        <v>5.3368092328955107E-3</v>
      </c>
      <c r="P10" s="138"/>
    </row>
    <row r="11" spans="1:20" ht="15" customHeight="1" x14ac:dyDescent="0.3">
      <c r="A11" s="134"/>
      <c r="B11" s="134"/>
      <c r="C11" s="134"/>
      <c r="D11" s="134"/>
      <c r="E11" s="134"/>
      <c r="F11" s="134"/>
      <c r="G11" s="134"/>
      <c r="H11" s="134"/>
      <c r="I11" s="134"/>
      <c r="J11" s="134"/>
      <c r="K11" s="134"/>
      <c r="L11" s="134"/>
      <c r="M11" s="101" t="s">
        <v>110</v>
      </c>
      <c r="N11" s="110">
        <f ca="1">0.162*(N2^-0.79)</f>
        <v>3.9334671426716844E-2</v>
      </c>
      <c r="O11" s="111">
        <f ca="1">0.162*(N3^-0.79)</f>
        <v>1.0346072722541514E-3</v>
      </c>
      <c r="P11" s="138"/>
    </row>
    <row r="12" spans="1:20" ht="15" customHeight="1" x14ac:dyDescent="0.3">
      <c r="A12" s="134"/>
      <c r="B12" s="134"/>
      <c r="C12" s="134"/>
      <c r="D12" s="134"/>
      <c r="E12" s="134"/>
      <c r="F12" s="134"/>
      <c r="G12" s="134"/>
      <c r="H12" s="134"/>
      <c r="I12" s="134"/>
      <c r="J12" s="134"/>
      <c r="K12" s="134"/>
      <c r="L12" s="134"/>
      <c r="M12" s="212" t="s">
        <v>119</v>
      </c>
      <c r="N12" s="213"/>
      <c r="O12" s="214"/>
      <c r="P12" s="130"/>
      <c r="Q12" s="130"/>
      <c r="R12" s="30"/>
    </row>
    <row r="13" spans="1:20" ht="15" customHeight="1" x14ac:dyDescent="0.3">
      <c r="A13" s="134"/>
      <c r="B13" s="134"/>
      <c r="C13" s="134"/>
      <c r="D13" s="134"/>
      <c r="E13" s="134"/>
      <c r="F13" s="134"/>
      <c r="G13" s="134"/>
      <c r="H13" s="134"/>
      <c r="I13" s="134"/>
      <c r="J13" s="134"/>
      <c r="K13" s="134"/>
      <c r="L13" s="134"/>
      <c r="M13" s="215"/>
      <c r="N13" s="216"/>
      <c r="O13" s="217"/>
      <c r="P13" s="130"/>
      <c r="Q13" s="130"/>
      <c r="R13" s="30"/>
      <c r="S13" s="30"/>
      <c r="T13" s="30"/>
    </row>
    <row r="14" spans="1:20" ht="15" customHeight="1" x14ac:dyDescent="0.3">
      <c r="A14" s="134"/>
      <c r="B14" s="134"/>
      <c r="C14" s="134"/>
      <c r="D14" s="134"/>
      <c r="E14" s="134"/>
      <c r="F14" s="134"/>
      <c r="G14" s="134"/>
      <c r="H14" s="134"/>
      <c r="I14" s="134"/>
      <c r="J14" s="134"/>
      <c r="K14" s="134"/>
      <c r="L14" s="134"/>
      <c r="M14" s="218"/>
      <c r="N14" s="219"/>
      <c r="O14" s="220"/>
      <c r="P14" s="141"/>
    </row>
    <row r="15" spans="1:20" ht="15" customHeight="1" x14ac:dyDescent="0.3">
      <c r="A15" s="134"/>
      <c r="B15" s="134"/>
      <c r="C15" s="134"/>
      <c r="D15" s="134"/>
      <c r="E15" s="134"/>
      <c r="F15" s="134"/>
      <c r="G15" s="134"/>
      <c r="H15" s="134"/>
      <c r="I15" s="134"/>
      <c r="J15" s="134"/>
      <c r="K15" s="134"/>
      <c r="L15" s="134"/>
      <c r="M15" s="221"/>
      <c r="N15" s="222"/>
      <c r="O15" s="223"/>
      <c r="P15" s="141"/>
    </row>
    <row r="16" spans="1:20" ht="15" customHeight="1" x14ac:dyDescent="0.3">
      <c r="A16" s="134"/>
      <c r="B16" s="134"/>
      <c r="C16" s="134"/>
      <c r="D16" s="134"/>
      <c r="E16" s="134"/>
      <c r="F16" s="134"/>
      <c r="G16" s="134"/>
      <c r="H16" s="134"/>
      <c r="I16" s="134"/>
      <c r="J16" s="134"/>
      <c r="K16" s="134"/>
      <c r="L16" s="134"/>
      <c r="O16" s="141"/>
      <c r="P16" s="141"/>
    </row>
    <row r="17" spans="1:16" ht="15" customHeight="1" x14ac:dyDescent="0.3">
      <c r="A17" s="134"/>
      <c r="B17" s="134"/>
      <c r="C17" s="134"/>
      <c r="D17" s="134"/>
      <c r="E17" s="134"/>
      <c r="F17" s="134"/>
      <c r="G17" s="134"/>
      <c r="H17" s="134"/>
      <c r="I17" s="134"/>
      <c r="J17" s="134"/>
      <c r="K17" s="134"/>
      <c r="L17" s="134"/>
      <c r="O17" s="141"/>
      <c r="P17" s="141"/>
    </row>
    <row r="18" spans="1:16" ht="15" customHeight="1" x14ac:dyDescent="0.3">
      <c r="A18" s="134"/>
      <c r="B18" s="134"/>
      <c r="C18" s="134"/>
      <c r="D18" s="134"/>
      <c r="E18" s="134"/>
      <c r="F18" s="134"/>
      <c r="G18" s="134"/>
      <c r="H18" s="134"/>
      <c r="I18" s="134"/>
      <c r="J18" s="134"/>
      <c r="K18" s="134"/>
      <c r="L18" s="134"/>
      <c r="O18" s="141"/>
      <c r="P18" s="141"/>
    </row>
    <row r="19" spans="1:16" ht="15" customHeight="1" x14ac:dyDescent="0.3">
      <c r="A19" s="134"/>
      <c r="B19" s="134"/>
      <c r="C19" s="134"/>
      <c r="D19" s="134"/>
      <c r="E19" s="134"/>
      <c r="F19" s="134"/>
      <c r="G19" s="134"/>
      <c r="H19" s="134"/>
      <c r="I19" s="134"/>
      <c r="J19" s="134"/>
      <c r="K19" s="134"/>
      <c r="L19" s="134"/>
      <c r="O19" s="141"/>
      <c r="P19" s="141"/>
    </row>
    <row r="20" spans="1:16" ht="15" customHeight="1" x14ac:dyDescent="0.3">
      <c r="A20" s="134"/>
      <c r="B20" s="134"/>
      <c r="C20" s="134"/>
      <c r="D20" s="134"/>
      <c r="E20" s="134"/>
      <c r="F20" s="134"/>
      <c r="G20" s="134"/>
      <c r="H20" s="134"/>
      <c r="I20" s="134"/>
      <c r="J20" s="134"/>
      <c r="K20" s="134"/>
      <c r="L20" s="134"/>
      <c r="O20" s="141"/>
      <c r="P20" s="141"/>
    </row>
    <row r="21" spans="1:16" ht="15" customHeight="1" x14ac:dyDescent="0.3">
      <c r="A21" s="134"/>
      <c r="B21" s="134"/>
      <c r="C21" s="134"/>
      <c r="D21" s="134"/>
      <c r="E21" s="134"/>
      <c r="F21" s="134"/>
      <c r="G21" s="134"/>
      <c r="H21" s="134"/>
      <c r="I21" s="134"/>
      <c r="J21" s="134"/>
      <c r="K21" s="134"/>
      <c r="L21" s="134"/>
      <c r="O21" s="141"/>
      <c r="P21" s="141"/>
    </row>
    <row r="22" spans="1:16" ht="15" customHeight="1" x14ac:dyDescent="0.3">
      <c r="A22" s="134"/>
      <c r="B22" s="134"/>
      <c r="C22" s="134"/>
      <c r="D22" s="134"/>
      <c r="E22" s="134"/>
      <c r="F22" s="134"/>
      <c r="G22" s="134"/>
      <c r="H22" s="134"/>
      <c r="I22" s="134"/>
      <c r="J22" s="134"/>
      <c r="K22" s="134"/>
      <c r="L22" s="134"/>
      <c r="O22" s="141"/>
      <c r="P22" s="141"/>
    </row>
    <row r="23" spans="1:16" ht="15" customHeight="1" x14ac:dyDescent="0.3">
      <c r="A23" s="134"/>
      <c r="B23" s="134"/>
      <c r="C23" s="134"/>
      <c r="D23" s="134"/>
      <c r="E23" s="134"/>
      <c r="F23" s="134"/>
      <c r="G23" s="134"/>
      <c r="H23" s="134"/>
      <c r="I23" s="134"/>
      <c r="J23" s="134"/>
      <c r="K23" s="134"/>
      <c r="L23" s="134"/>
      <c r="O23" s="141"/>
      <c r="P23" s="141"/>
    </row>
    <row r="24" spans="1:16" ht="15" customHeight="1" x14ac:dyDescent="0.3">
      <c r="A24" s="134"/>
      <c r="B24" s="134"/>
      <c r="C24" s="134"/>
      <c r="D24" s="134"/>
      <c r="E24" s="134"/>
      <c r="F24" s="134"/>
      <c r="G24" s="134"/>
      <c r="H24" s="134"/>
      <c r="I24" s="134"/>
      <c r="J24" s="134"/>
      <c r="K24" s="134"/>
      <c r="L24" s="134"/>
      <c r="O24" s="141"/>
      <c r="P24" s="141"/>
    </row>
    <row r="25" spans="1:16" ht="15" customHeight="1" x14ac:dyDescent="0.3">
      <c r="A25" s="134"/>
      <c r="B25" s="134"/>
      <c r="C25" s="134"/>
      <c r="D25" s="134"/>
      <c r="E25" s="134"/>
      <c r="F25" s="134"/>
      <c r="G25" s="134"/>
      <c r="H25" s="134"/>
      <c r="I25" s="134"/>
      <c r="J25" s="134"/>
      <c r="K25" s="134"/>
      <c r="L25" s="134"/>
      <c r="O25" s="141"/>
      <c r="P25" s="141"/>
    </row>
    <row r="26" spans="1:16" ht="15" customHeight="1" x14ac:dyDescent="0.3">
      <c r="A26" s="134"/>
      <c r="B26" s="134"/>
      <c r="C26" s="134"/>
      <c r="D26" s="134"/>
      <c r="E26" s="134"/>
      <c r="F26" s="134"/>
      <c r="G26" s="134"/>
      <c r="H26" s="134"/>
      <c r="I26" s="134"/>
      <c r="J26" s="134"/>
      <c r="K26" s="134"/>
      <c r="L26" s="134"/>
      <c r="O26" s="141"/>
      <c r="P26" s="141"/>
    </row>
    <row r="27" spans="1:16" ht="15" customHeight="1" x14ac:dyDescent="0.3">
      <c r="A27" s="134"/>
      <c r="B27" s="134"/>
      <c r="C27" s="134"/>
      <c r="D27" s="134"/>
      <c r="E27" s="134"/>
      <c r="F27" s="134"/>
      <c r="G27" s="134"/>
      <c r="H27" s="134"/>
      <c r="I27" s="134"/>
      <c r="J27" s="134"/>
      <c r="K27" s="134"/>
      <c r="L27" s="134"/>
      <c r="O27" s="141"/>
      <c r="P27" s="141"/>
    </row>
    <row r="28" spans="1:16" ht="15" customHeight="1" x14ac:dyDescent="0.3">
      <c r="A28" s="134"/>
      <c r="B28" s="134"/>
      <c r="C28" s="134"/>
      <c r="D28" s="134"/>
      <c r="E28" s="134"/>
      <c r="F28" s="134"/>
      <c r="G28" s="134"/>
      <c r="H28" s="134"/>
      <c r="I28" s="134"/>
      <c r="J28" s="134"/>
      <c r="K28" s="134"/>
      <c r="L28" s="134"/>
      <c r="O28" s="141"/>
      <c r="P28" s="141"/>
    </row>
    <row r="29" spans="1:16" ht="15" customHeight="1" x14ac:dyDescent="0.3">
      <c r="A29" s="134"/>
      <c r="B29" s="134"/>
      <c r="C29" s="134"/>
      <c r="D29" s="134"/>
      <c r="E29" s="134"/>
      <c r="F29" s="134"/>
      <c r="G29" s="134"/>
      <c r="H29" s="134"/>
      <c r="I29" s="134"/>
      <c r="J29" s="134"/>
      <c r="K29" s="134"/>
      <c r="L29" s="134"/>
      <c r="O29" s="141"/>
      <c r="P29" s="141"/>
    </row>
    <row r="30" spans="1:16" ht="15" customHeight="1" x14ac:dyDescent="0.3">
      <c r="A30" s="134"/>
      <c r="B30" s="134"/>
      <c r="C30" s="134"/>
      <c r="D30" s="134"/>
      <c r="E30" s="134"/>
      <c r="F30" s="134"/>
      <c r="G30" s="134"/>
      <c r="H30" s="134"/>
      <c r="I30" s="134"/>
      <c r="J30" s="134"/>
      <c r="K30" s="134"/>
      <c r="L30" s="134"/>
      <c r="O30" s="141"/>
      <c r="P30" s="141"/>
    </row>
    <row r="31" spans="1:16" ht="15" customHeight="1" x14ac:dyDescent="0.3">
      <c r="A31" s="134"/>
      <c r="B31" s="134"/>
      <c r="C31" s="134"/>
      <c r="D31" s="134"/>
      <c r="E31" s="134"/>
      <c r="F31" s="134"/>
      <c r="G31" s="134"/>
      <c r="H31" s="134"/>
      <c r="I31" s="134"/>
      <c r="J31" s="134"/>
      <c r="K31" s="134"/>
      <c r="L31" s="134"/>
      <c r="O31" s="141"/>
      <c r="P31" s="141"/>
    </row>
    <row r="32" spans="1:16" ht="15" customHeight="1" x14ac:dyDescent="0.3">
      <c r="A32" s="134"/>
      <c r="B32" s="134"/>
      <c r="C32" s="134"/>
      <c r="D32" s="134"/>
      <c r="E32" s="134"/>
      <c r="F32" s="134"/>
      <c r="G32" s="134"/>
      <c r="H32" s="134"/>
      <c r="I32" s="134"/>
      <c r="J32" s="134"/>
      <c r="K32" s="134"/>
      <c r="L32" s="134"/>
      <c r="O32" s="141"/>
      <c r="P32" s="141"/>
    </row>
    <row r="33" spans="1:16" ht="15" customHeight="1" x14ac:dyDescent="0.3">
      <c r="A33" s="134"/>
      <c r="B33" s="134"/>
      <c r="C33" s="134"/>
      <c r="D33" s="134"/>
      <c r="E33" s="134"/>
      <c r="F33" s="134"/>
      <c r="G33" s="134"/>
      <c r="H33" s="134"/>
      <c r="I33" s="134"/>
      <c r="J33" s="134"/>
      <c r="K33" s="134"/>
      <c r="L33" s="134"/>
      <c r="O33" s="141"/>
      <c r="P33" s="141"/>
    </row>
    <row r="34" spans="1:16" ht="15" customHeight="1" x14ac:dyDescent="0.3">
      <c r="A34" s="134"/>
      <c r="B34" s="134"/>
      <c r="C34" s="134"/>
      <c r="D34" s="134"/>
      <c r="E34" s="134"/>
      <c r="F34" s="134"/>
      <c r="G34" s="134"/>
      <c r="H34" s="134"/>
      <c r="I34" s="134"/>
      <c r="J34" s="134"/>
      <c r="K34" s="134"/>
      <c r="L34" s="134"/>
      <c r="O34" s="141"/>
      <c r="P34" s="141"/>
    </row>
    <row r="35" spans="1:16" ht="15" customHeight="1" x14ac:dyDescent="0.3">
      <c r="A35" s="134"/>
      <c r="B35" s="134"/>
      <c r="C35" s="134"/>
      <c r="D35" s="134"/>
      <c r="E35" s="134"/>
      <c r="F35" s="134"/>
      <c r="G35" s="134"/>
      <c r="H35" s="134"/>
      <c r="I35" s="134"/>
      <c r="J35" s="134"/>
      <c r="K35" s="134"/>
      <c r="L35" s="134"/>
      <c r="O35" s="141"/>
      <c r="P35" s="141"/>
    </row>
    <row r="36" spans="1:16" ht="15" customHeight="1" x14ac:dyDescent="0.3">
      <c r="A36" s="134"/>
      <c r="B36" s="134"/>
      <c r="C36" s="134"/>
      <c r="D36" s="134"/>
      <c r="E36" s="134"/>
      <c r="F36" s="134"/>
      <c r="G36" s="134"/>
      <c r="H36" s="134"/>
      <c r="I36" s="134"/>
      <c r="J36" s="134"/>
      <c r="K36" s="134"/>
      <c r="L36" s="134"/>
      <c r="O36" s="141"/>
      <c r="P36" s="141"/>
    </row>
    <row r="37" spans="1:16" ht="15" customHeight="1" x14ac:dyDescent="0.3">
      <c r="A37" s="134"/>
      <c r="B37" s="134"/>
      <c r="C37" s="134"/>
      <c r="D37" s="134"/>
      <c r="E37" s="134"/>
      <c r="F37" s="134"/>
      <c r="G37" s="134"/>
      <c r="H37" s="134"/>
      <c r="I37" s="134"/>
      <c r="J37" s="134"/>
      <c r="K37" s="134"/>
      <c r="L37" s="134"/>
      <c r="O37" s="141"/>
      <c r="P37" s="141"/>
    </row>
    <row r="38" spans="1:16" ht="15" customHeight="1" x14ac:dyDescent="0.3">
      <c r="A38" s="134"/>
      <c r="B38" s="134"/>
      <c r="C38" s="134"/>
      <c r="D38" s="134"/>
      <c r="E38" s="134"/>
      <c r="F38" s="134"/>
      <c r="G38" s="134"/>
      <c r="H38" s="134"/>
      <c r="I38" s="134"/>
      <c r="J38" s="134"/>
      <c r="K38" s="134"/>
      <c r="L38" s="134"/>
      <c r="O38" s="141"/>
      <c r="P38" s="141"/>
    </row>
    <row r="39" spans="1:16" ht="15" customHeight="1" x14ac:dyDescent="0.3">
      <c r="A39" s="134"/>
      <c r="B39" s="134"/>
      <c r="C39" s="134"/>
      <c r="D39" s="134"/>
      <c r="E39" s="134"/>
      <c r="F39" s="134"/>
      <c r="G39" s="134"/>
      <c r="H39" s="134"/>
      <c r="I39" s="134"/>
      <c r="J39" s="134"/>
      <c r="K39" s="134"/>
      <c r="L39" s="134"/>
      <c r="O39" s="141"/>
      <c r="P39" s="141"/>
    </row>
    <row r="40" spans="1:16" ht="20.25" customHeight="1" x14ac:dyDescent="0.3">
      <c r="A40" s="1" t="str">
        <f ca="1">"The blast event data was collected intermittently between the following dates:  "&amp;TEXT(MIN(Date),"mm/dd/yy")&amp;" and "&amp;TEXT(MAX(Date),"mm/dd/yy")&amp;"."</f>
        <v>The blast event data was collected intermittently between the following dates:  07/27/00 and 08/29/01.</v>
      </c>
      <c r="B40" s="102"/>
      <c r="C40" s="102"/>
      <c r="D40" s="102"/>
      <c r="E40" s="102"/>
      <c r="F40" s="102"/>
      <c r="G40" s="102"/>
      <c r="H40" s="1"/>
      <c r="I40" s="102"/>
      <c r="J40" s="1"/>
      <c r="K40" s="102"/>
      <c r="L40" s="134"/>
      <c r="O40" s="141"/>
      <c r="P40" s="141"/>
    </row>
    <row r="41" spans="1:16" ht="19.5" customHeight="1" x14ac:dyDescent="0.3">
      <c r="A41" s="102"/>
      <c r="B41" s="102"/>
      <c r="C41" s="102"/>
      <c r="D41" s="102"/>
      <c r="E41" s="102"/>
      <c r="F41" s="102"/>
      <c r="G41" s="103"/>
      <c r="H41" s="103"/>
      <c r="I41" s="104"/>
      <c r="J41" s="102"/>
      <c r="K41" s="102"/>
      <c r="L41" s="134"/>
      <c r="P41" s="141"/>
    </row>
    <row r="42" spans="1:16" ht="18" customHeight="1" x14ac:dyDescent="0.3">
      <c r="A42" s="233" t="s">
        <v>123</v>
      </c>
      <c r="B42" s="241"/>
      <c r="C42" s="241"/>
      <c r="D42" s="241"/>
      <c r="E42" s="241"/>
      <c r="F42" s="241"/>
      <c r="G42" s="241"/>
      <c r="H42" s="241"/>
      <c r="I42" s="241"/>
      <c r="J42" s="241"/>
      <c r="K42" s="242"/>
      <c r="L42" s="134"/>
      <c r="P42" s="141"/>
    </row>
    <row r="43" spans="1:16" ht="18" customHeight="1" x14ac:dyDescent="0.3">
      <c r="A43" s="239" t="s">
        <v>131</v>
      </c>
      <c r="B43" s="240"/>
      <c r="C43" s="240"/>
      <c r="D43" s="105" t="s">
        <v>124</v>
      </c>
      <c r="E43" s="112">
        <f ca="1">EXP(INDEX(LINEST(LN(Ab_psi),LN(SD3_0.33),,),1,2))</f>
        <v>0.21969161505674278</v>
      </c>
      <c r="F43" s="243" t="s">
        <v>128</v>
      </c>
      <c r="G43" s="244"/>
      <c r="H43" s="244"/>
      <c r="I43" s="244"/>
      <c r="J43" s="244"/>
      <c r="K43" s="245"/>
      <c r="L43" s="134"/>
      <c r="O43" s="141"/>
      <c r="P43" s="141"/>
    </row>
    <row r="44" spans="1:16" ht="18" customHeight="1" x14ac:dyDescent="0.3">
      <c r="A44" s="239"/>
      <c r="B44" s="240"/>
      <c r="C44" s="240"/>
      <c r="D44" s="105" t="s">
        <v>121</v>
      </c>
      <c r="E44" s="112">
        <f ca="1">AirBlast!N5</f>
        <v>0.47858759212011281</v>
      </c>
      <c r="F44" s="236" t="s">
        <v>129</v>
      </c>
      <c r="G44" s="237"/>
      <c r="H44" s="237"/>
      <c r="I44" s="237"/>
      <c r="J44" s="237"/>
      <c r="K44" s="238"/>
      <c r="L44" s="137"/>
      <c r="O44" s="141"/>
      <c r="P44" s="141"/>
    </row>
    <row r="45" spans="1:16" ht="18" customHeight="1" x14ac:dyDescent="0.3">
      <c r="A45" s="239"/>
      <c r="B45" s="240"/>
      <c r="C45" s="240"/>
      <c r="D45" s="105" t="s">
        <v>122</v>
      </c>
      <c r="E45" s="112">
        <f ca="1">INDEX(LINEST(LN(Ab_psi),LN(SD3_0.33),,),1)</f>
        <v>-0.8826875819001937</v>
      </c>
      <c r="F45" s="236" t="s">
        <v>127</v>
      </c>
      <c r="G45" s="237"/>
      <c r="H45" s="237"/>
      <c r="I45" s="237"/>
      <c r="J45" s="237"/>
      <c r="K45" s="238"/>
      <c r="L45" s="137"/>
      <c r="O45" s="141"/>
      <c r="P45" s="141"/>
    </row>
    <row r="46" spans="1:16" x14ac:dyDescent="0.3">
      <c r="D46" s="142"/>
      <c r="E46" s="142"/>
      <c r="F46" s="142"/>
      <c r="G46" s="142"/>
      <c r="H46" s="142"/>
      <c r="I46" s="142"/>
      <c r="J46" s="142"/>
      <c r="K46" s="142"/>
      <c r="L46" s="137"/>
      <c r="O46" s="141"/>
      <c r="P46" s="141"/>
    </row>
    <row r="47" spans="1:16" x14ac:dyDescent="0.3">
      <c r="A47" s="142"/>
      <c r="B47" s="142"/>
      <c r="C47" s="142"/>
      <c r="D47" s="142"/>
      <c r="E47" s="142"/>
      <c r="F47" s="142"/>
      <c r="G47" s="142"/>
      <c r="H47" s="142"/>
      <c r="I47" s="142"/>
      <c r="J47" s="142"/>
      <c r="K47" s="142"/>
      <c r="L47" s="137"/>
      <c r="O47" s="141"/>
      <c r="P47" s="141"/>
    </row>
    <row r="48" spans="1:16" x14ac:dyDescent="0.3">
      <c r="A48" s="143"/>
      <c r="B48" s="143"/>
      <c r="C48" s="143"/>
      <c r="D48" s="143"/>
      <c r="E48" s="143"/>
      <c r="F48" s="143"/>
      <c r="G48" s="143"/>
      <c r="H48" s="143"/>
      <c r="I48" s="143"/>
      <c r="J48" s="143"/>
      <c r="K48" s="143"/>
      <c r="L48" s="143"/>
      <c r="O48" s="141"/>
      <c r="P48" s="141"/>
    </row>
    <row r="49" spans="1:16" x14ac:dyDescent="0.3">
      <c r="B49" s="143"/>
      <c r="C49" s="143"/>
      <c r="D49" s="143"/>
      <c r="E49" s="143"/>
      <c r="F49" s="143"/>
      <c r="G49" s="143"/>
      <c r="H49" s="143"/>
      <c r="I49" s="143"/>
      <c r="J49" s="143"/>
      <c r="K49" s="143"/>
      <c r="L49" s="143"/>
      <c r="O49" s="141"/>
      <c r="P49" s="141"/>
    </row>
    <row r="50" spans="1:16" x14ac:dyDescent="0.3">
      <c r="B50" s="143"/>
      <c r="C50" s="143"/>
      <c r="D50" s="143"/>
      <c r="E50" s="143"/>
      <c r="F50" s="143"/>
      <c r="G50" s="143"/>
      <c r="H50" s="143"/>
      <c r="I50" s="143"/>
      <c r="J50" s="143"/>
      <c r="K50" s="143"/>
      <c r="L50" s="143"/>
      <c r="O50" s="141"/>
      <c r="P50" s="141"/>
    </row>
    <row r="51" spans="1:16" x14ac:dyDescent="0.3">
      <c r="B51" s="143"/>
      <c r="C51" s="143"/>
      <c r="D51" s="143"/>
      <c r="E51" s="143"/>
      <c r="F51" s="143"/>
      <c r="G51" s="143"/>
      <c r="H51" s="143"/>
      <c r="I51" s="143"/>
      <c r="J51" s="143"/>
      <c r="K51" s="143"/>
      <c r="L51" s="143"/>
      <c r="O51" s="141"/>
      <c r="P51" s="141"/>
    </row>
    <row r="52" spans="1:16" x14ac:dyDescent="0.3">
      <c r="B52" s="143"/>
      <c r="C52" s="143"/>
      <c r="D52" s="143"/>
      <c r="E52" s="143"/>
      <c r="F52" s="143"/>
      <c r="G52" s="143"/>
      <c r="H52" s="143"/>
      <c r="I52" s="143"/>
      <c r="J52" s="143"/>
      <c r="K52" s="143"/>
      <c r="L52" s="143"/>
      <c r="O52" s="141"/>
      <c r="P52" s="141"/>
    </row>
    <row r="53" spans="1:16" x14ac:dyDescent="0.3">
      <c r="B53" s="143"/>
      <c r="C53" s="143"/>
      <c r="D53" s="143"/>
      <c r="E53" s="143"/>
      <c r="F53" s="143"/>
      <c r="G53" s="143"/>
      <c r="H53" s="143"/>
      <c r="I53" s="143"/>
      <c r="J53" s="143"/>
      <c r="K53" s="143"/>
      <c r="L53" s="143"/>
      <c r="O53" s="141"/>
      <c r="P53" s="141"/>
    </row>
    <row r="54" spans="1:16" x14ac:dyDescent="0.3">
      <c r="A54" s="143"/>
      <c r="B54" s="143"/>
      <c r="C54" s="143"/>
      <c r="D54" s="143"/>
      <c r="E54" s="143"/>
      <c r="F54" s="143"/>
      <c r="G54" s="143"/>
      <c r="H54" s="143"/>
      <c r="I54" s="143"/>
      <c r="J54" s="143"/>
      <c r="K54" s="143"/>
      <c r="L54" s="143"/>
      <c r="O54" s="141"/>
      <c r="P54" s="141"/>
    </row>
    <row r="55" spans="1:16" x14ac:dyDescent="0.3">
      <c r="A55" s="143"/>
      <c r="B55" s="143"/>
      <c r="C55" s="143"/>
      <c r="D55" s="143"/>
      <c r="E55" s="143"/>
      <c r="F55" s="143"/>
      <c r="G55" s="143"/>
      <c r="H55" s="143"/>
      <c r="I55" s="143"/>
      <c r="J55" s="143"/>
      <c r="K55" s="143"/>
      <c r="L55" s="143"/>
      <c r="O55" s="141"/>
      <c r="P55" s="141"/>
    </row>
    <row r="56" spans="1:16" x14ac:dyDescent="0.3">
      <c r="O56" s="141"/>
      <c r="P56" s="141"/>
    </row>
    <row r="57" spans="1:16" x14ac:dyDescent="0.3">
      <c r="O57" s="141"/>
      <c r="P57" s="141"/>
    </row>
    <row r="58" spans="1:16" x14ac:dyDescent="0.3">
      <c r="O58" s="141"/>
      <c r="P58" s="141"/>
    </row>
    <row r="59" spans="1:16" x14ac:dyDescent="0.3">
      <c r="O59" s="141"/>
      <c r="P59" s="141"/>
    </row>
    <row r="60" spans="1:16" x14ac:dyDescent="0.3">
      <c r="O60" s="141"/>
      <c r="P60" s="141"/>
    </row>
    <row r="61" spans="1:16" x14ac:dyDescent="0.3">
      <c r="O61" s="141"/>
      <c r="P61" s="141"/>
    </row>
    <row r="62" spans="1:16" x14ac:dyDescent="0.3">
      <c r="O62" s="141"/>
      <c r="P62" s="141"/>
    </row>
    <row r="63" spans="1:16" x14ac:dyDescent="0.3">
      <c r="O63" s="141"/>
      <c r="P63" s="141"/>
    </row>
    <row r="64" spans="1:16" x14ac:dyDescent="0.3">
      <c r="O64" s="141"/>
      <c r="P64" s="141"/>
    </row>
    <row r="65" spans="15:16" x14ac:dyDescent="0.3">
      <c r="O65" s="141"/>
      <c r="P65" s="141"/>
    </row>
    <row r="66" spans="15:16" x14ac:dyDescent="0.3">
      <c r="O66" s="141"/>
      <c r="P66" s="141"/>
    </row>
    <row r="67" spans="15:16" x14ac:dyDescent="0.3">
      <c r="O67" s="141"/>
      <c r="P67" s="141"/>
    </row>
    <row r="68" spans="15:16" x14ac:dyDescent="0.3">
      <c r="O68" s="141"/>
      <c r="P68" s="141"/>
    </row>
    <row r="69" spans="15:16" x14ac:dyDescent="0.3">
      <c r="O69" s="141"/>
      <c r="P69" s="141"/>
    </row>
    <row r="70" spans="15:16" x14ac:dyDescent="0.3">
      <c r="O70" s="141"/>
      <c r="P70" s="141"/>
    </row>
    <row r="71" spans="15:16" x14ac:dyDescent="0.3">
      <c r="O71" s="141"/>
      <c r="P71" s="141"/>
    </row>
    <row r="72" spans="15:16" x14ac:dyDescent="0.3">
      <c r="O72" s="141"/>
      <c r="P72" s="141"/>
    </row>
    <row r="73" spans="15:16" x14ac:dyDescent="0.3">
      <c r="O73" s="141"/>
      <c r="P73" s="141"/>
    </row>
    <row r="74" spans="15:16" x14ac:dyDescent="0.3">
      <c r="O74" s="141"/>
      <c r="P74" s="141"/>
    </row>
    <row r="75" spans="15:16" x14ac:dyDescent="0.3">
      <c r="O75" s="141"/>
      <c r="P75" s="141"/>
    </row>
    <row r="76" spans="15:16" x14ac:dyDescent="0.3">
      <c r="O76" s="141"/>
      <c r="P76" s="141"/>
    </row>
    <row r="77" spans="15:16" x14ac:dyDescent="0.3">
      <c r="O77" s="141"/>
      <c r="P77" s="141"/>
    </row>
    <row r="78" spans="15:16" x14ac:dyDescent="0.3">
      <c r="O78" s="141"/>
      <c r="P78" s="141"/>
    </row>
    <row r="79" spans="15:16" x14ac:dyDescent="0.3">
      <c r="O79" s="141"/>
      <c r="P79" s="141"/>
    </row>
    <row r="80" spans="15:16" x14ac:dyDescent="0.3">
      <c r="O80" s="141"/>
      <c r="P80" s="141"/>
    </row>
    <row r="81" spans="15:16" x14ac:dyDescent="0.3">
      <c r="O81" s="141"/>
      <c r="P81" s="141"/>
    </row>
    <row r="82" spans="15:16" x14ac:dyDescent="0.3">
      <c r="O82" s="141"/>
      <c r="P82" s="141"/>
    </row>
    <row r="83" spans="15:16" x14ac:dyDescent="0.3">
      <c r="O83" s="141"/>
      <c r="P83" s="141"/>
    </row>
    <row r="84" spans="15:16" x14ac:dyDescent="0.3">
      <c r="O84" s="141"/>
      <c r="P84" s="141"/>
    </row>
    <row r="85" spans="15:16" x14ac:dyDescent="0.3">
      <c r="O85" s="141"/>
      <c r="P85" s="141"/>
    </row>
    <row r="86" spans="15:16" x14ac:dyDescent="0.3">
      <c r="O86" s="141"/>
      <c r="P86" s="141"/>
    </row>
    <row r="87" spans="15:16" x14ac:dyDescent="0.3">
      <c r="O87" s="141"/>
      <c r="P87" s="141"/>
    </row>
    <row r="88" spans="15:16" x14ac:dyDescent="0.3">
      <c r="O88" s="141"/>
      <c r="P88" s="141"/>
    </row>
    <row r="89" spans="15:16" x14ac:dyDescent="0.3">
      <c r="O89" s="141"/>
      <c r="P89" s="141"/>
    </row>
    <row r="90" spans="15:16" x14ac:dyDescent="0.3">
      <c r="O90" s="141"/>
      <c r="P90" s="141"/>
    </row>
    <row r="91" spans="15:16" x14ac:dyDescent="0.3">
      <c r="O91" s="141"/>
      <c r="P91" s="141"/>
    </row>
    <row r="92" spans="15:16" x14ac:dyDescent="0.3">
      <c r="O92" s="141"/>
      <c r="P92" s="141"/>
    </row>
    <row r="93" spans="15:16" x14ac:dyDescent="0.3">
      <c r="O93" s="141"/>
      <c r="P93" s="141"/>
    </row>
    <row r="94" spans="15:16" x14ac:dyDescent="0.3">
      <c r="O94" s="141"/>
      <c r="P94" s="141"/>
    </row>
    <row r="95" spans="15:16" x14ac:dyDescent="0.3">
      <c r="O95" s="141"/>
      <c r="P95" s="141"/>
    </row>
    <row r="96" spans="15:16" x14ac:dyDescent="0.3">
      <c r="O96" s="141"/>
      <c r="P96" s="141"/>
    </row>
    <row r="97" spans="15:16" x14ac:dyDescent="0.3">
      <c r="O97" s="141"/>
      <c r="P97" s="141"/>
    </row>
    <row r="98" spans="15:16" x14ac:dyDescent="0.3">
      <c r="O98" s="141"/>
      <c r="P98" s="141"/>
    </row>
    <row r="99" spans="15:16" x14ac:dyDescent="0.3">
      <c r="O99" s="141"/>
      <c r="P99" s="141"/>
    </row>
    <row r="100" spans="15:16" x14ac:dyDescent="0.3">
      <c r="O100" s="141"/>
      <c r="P100" s="141"/>
    </row>
    <row r="101" spans="15:16" x14ac:dyDescent="0.3">
      <c r="O101" s="141"/>
      <c r="P101" s="141"/>
    </row>
    <row r="102" spans="15:16" x14ac:dyDescent="0.3">
      <c r="O102" s="141"/>
      <c r="P102" s="141"/>
    </row>
    <row r="103" spans="15:16" x14ac:dyDescent="0.3">
      <c r="O103" s="141"/>
      <c r="P103" s="141"/>
    </row>
    <row r="104" spans="15:16" x14ac:dyDescent="0.3">
      <c r="O104" s="141"/>
      <c r="P104" s="141"/>
    </row>
    <row r="105" spans="15:16" x14ac:dyDescent="0.3">
      <c r="O105" s="141"/>
      <c r="P105" s="141"/>
    </row>
    <row r="106" spans="15:16" x14ac:dyDescent="0.3">
      <c r="O106" s="141"/>
      <c r="P106" s="141"/>
    </row>
    <row r="107" spans="15:16" x14ac:dyDescent="0.3">
      <c r="O107" s="141"/>
      <c r="P107" s="141"/>
    </row>
    <row r="108" spans="15:16" x14ac:dyDescent="0.3">
      <c r="O108" s="141"/>
      <c r="P108" s="141"/>
    </row>
    <row r="109" spans="15:16" x14ac:dyDescent="0.3">
      <c r="O109" s="141"/>
      <c r="P109" s="141"/>
    </row>
    <row r="110" spans="15:16" x14ac:dyDescent="0.3">
      <c r="O110" s="141"/>
      <c r="P110" s="141"/>
    </row>
    <row r="111" spans="15:16" x14ac:dyDescent="0.3">
      <c r="O111" s="141"/>
      <c r="P111" s="141"/>
    </row>
    <row r="112" spans="15:16" x14ac:dyDescent="0.3">
      <c r="O112" s="141"/>
      <c r="P112" s="141"/>
    </row>
    <row r="113" spans="15:16" x14ac:dyDescent="0.3">
      <c r="O113" s="141"/>
      <c r="P113" s="141"/>
    </row>
    <row r="114" spans="15:16" x14ac:dyDescent="0.3">
      <c r="O114" s="141"/>
      <c r="P114" s="141"/>
    </row>
    <row r="115" spans="15:16" x14ac:dyDescent="0.3">
      <c r="O115" s="141"/>
      <c r="P115" s="141"/>
    </row>
    <row r="116" spans="15:16" x14ac:dyDescent="0.3">
      <c r="O116" s="141"/>
      <c r="P116" s="141"/>
    </row>
    <row r="117" spans="15:16" x14ac:dyDescent="0.3">
      <c r="O117" s="141"/>
      <c r="P117" s="141"/>
    </row>
    <row r="118" spans="15:16" x14ac:dyDescent="0.3">
      <c r="O118" s="141"/>
      <c r="P118" s="141"/>
    </row>
    <row r="119" spans="15:16" x14ac:dyDescent="0.3">
      <c r="O119" s="141"/>
      <c r="P119" s="141"/>
    </row>
    <row r="120" spans="15:16" x14ac:dyDescent="0.3">
      <c r="O120" s="141"/>
      <c r="P120" s="141"/>
    </row>
    <row r="121" spans="15:16" x14ac:dyDescent="0.3">
      <c r="O121" s="141"/>
      <c r="P121" s="141"/>
    </row>
    <row r="122" spans="15:16" x14ac:dyDescent="0.3">
      <c r="O122" s="141"/>
      <c r="P122" s="141"/>
    </row>
    <row r="123" spans="15:16" x14ac:dyDescent="0.3">
      <c r="O123" s="141"/>
      <c r="P123" s="141"/>
    </row>
    <row r="124" spans="15:16" x14ac:dyDescent="0.3">
      <c r="O124" s="141"/>
      <c r="P124" s="141"/>
    </row>
    <row r="125" spans="15:16" x14ac:dyDescent="0.3">
      <c r="O125" s="141"/>
      <c r="P125" s="141"/>
    </row>
    <row r="126" spans="15:16" x14ac:dyDescent="0.3">
      <c r="O126" s="141"/>
      <c r="P126" s="141"/>
    </row>
    <row r="127" spans="15:16" x14ac:dyDescent="0.3">
      <c r="O127" s="141"/>
      <c r="P127" s="141"/>
    </row>
    <row r="128" spans="15:16" x14ac:dyDescent="0.3">
      <c r="O128" s="141"/>
      <c r="P128" s="141"/>
    </row>
    <row r="129" spans="15:16" x14ac:dyDescent="0.3">
      <c r="O129" s="141"/>
      <c r="P129" s="141"/>
    </row>
    <row r="130" spans="15:16" x14ac:dyDescent="0.3">
      <c r="O130" s="141"/>
      <c r="P130" s="141"/>
    </row>
    <row r="131" spans="15:16" x14ac:dyDescent="0.3">
      <c r="O131" s="141"/>
      <c r="P131" s="141"/>
    </row>
    <row r="132" spans="15:16" x14ac:dyDescent="0.3">
      <c r="O132" s="141"/>
      <c r="P132" s="141"/>
    </row>
    <row r="133" spans="15:16" x14ac:dyDescent="0.3">
      <c r="O133" s="141"/>
      <c r="P133" s="141"/>
    </row>
    <row r="134" spans="15:16" x14ac:dyDescent="0.3">
      <c r="O134" s="141"/>
      <c r="P134" s="141"/>
    </row>
    <row r="135" spans="15:16" x14ac:dyDescent="0.3">
      <c r="O135" s="141"/>
      <c r="P135" s="141"/>
    </row>
    <row r="136" spans="15:16" x14ac:dyDescent="0.3">
      <c r="O136" s="141"/>
      <c r="P136" s="141"/>
    </row>
    <row r="137" spans="15:16" x14ac:dyDescent="0.3">
      <c r="O137" s="141"/>
      <c r="P137" s="141"/>
    </row>
    <row r="138" spans="15:16" x14ac:dyDescent="0.3">
      <c r="O138" s="141"/>
      <c r="P138" s="141"/>
    </row>
    <row r="139" spans="15:16" x14ac:dyDescent="0.3">
      <c r="O139" s="141"/>
      <c r="P139" s="141"/>
    </row>
    <row r="140" spans="15:16" x14ac:dyDescent="0.3">
      <c r="O140" s="141"/>
      <c r="P140" s="141"/>
    </row>
    <row r="141" spans="15:16" x14ac:dyDescent="0.3">
      <c r="O141" s="141"/>
      <c r="P141" s="141"/>
    </row>
    <row r="142" spans="15:16" x14ac:dyDescent="0.3">
      <c r="O142" s="141"/>
      <c r="P142" s="141"/>
    </row>
    <row r="143" spans="15:16" x14ac:dyDescent="0.3">
      <c r="O143" s="141"/>
      <c r="P143" s="141"/>
    </row>
    <row r="144" spans="15:16" x14ac:dyDescent="0.3">
      <c r="O144" s="141"/>
      <c r="P144" s="141"/>
    </row>
    <row r="145" spans="15:16" x14ac:dyDescent="0.3">
      <c r="O145" s="141"/>
      <c r="P145" s="141"/>
    </row>
    <row r="146" spans="15:16" x14ac:dyDescent="0.3">
      <c r="O146" s="141"/>
      <c r="P146" s="141"/>
    </row>
    <row r="147" spans="15:16" x14ac:dyDescent="0.3">
      <c r="O147" s="141"/>
      <c r="P147" s="141"/>
    </row>
    <row r="148" spans="15:16" x14ac:dyDescent="0.3">
      <c r="O148" s="141"/>
      <c r="P148" s="141"/>
    </row>
    <row r="149" spans="15:16" x14ac:dyDescent="0.3">
      <c r="O149" s="141"/>
      <c r="P149" s="141"/>
    </row>
    <row r="150" spans="15:16" x14ac:dyDescent="0.3">
      <c r="O150" s="141"/>
      <c r="P150" s="141"/>
    </row>
    <row r="151" spans="15:16" x14ac:dyDescent="0.3">
      <c r="O151" s="141"/>
      <c r="P151" s="141"/>
    </row>
    <row r="152" spans="15:16" x14ac:dyDescent="0.3">
      <c r="O152" s="141"/>
      <c r="P152" s="141"/>
    </row>
    <row r="153" spans="15:16" x14ac:dyDescent="0.3">
      <c r="O153" s="141"/>
      <c r="P153" s="141"/>
    </row>
    <row r="154" spans="15:16" x14ac:dyDescent="0.3">
      <c r="O154" s="141"/>
      <c r="P154" s="141"/>
    </row>
    <row r="155" spans="15:16" x14ac:dyDescent="0.3">
      <c r="O155" s="141"/>
      <c r="P155" s="141"/>
    </row>
    <row r="156" spans="15:16" x14ac:dyDescent="0.3">
      <c r="O156" s="141"/>
      <c r="P156" s="141"/>
    </row>
    <row r="157" spans="15:16" x14ac:dyDescent="0.3">
      <c r="O157" s="141"/>
      <c r="P157" s="141"/>
    </row>
    <row r="158" spans="15:16" x14ac:dyDescent="0.3">
      <c r="O158" s="141"/>
      <c r="P158" s="141"/>
    </row>
    <row r="159" spans="15:16" x14ac:dyDescent="0.3">
      <c r="O159" s="141"/>
      <c r="P159" s="141"/>
    </row>
    <row r="160" spans="15:16" x14ac:dyDescent="0.3">
      <c r="O160" s="141"/>
      <c r="P160" s="141"/>
    </row>
    <row r="161" spans="15:16" x14ac:dyDescent="0.3">
      <c r="O161" s="141"/>
      <c r="P161" s="141"/>
    </row>
    <row r="162" spans="15:16" x14ac:dyDescent="0.3">
      <c r="O162" s="141"/>
      <c r="P162" s="141"/>
    </row>
    <row r="163" spans="15:16" x14ac:dyDescent="0.3">
      <c r="O163" s="141"/>
      <c r="P163" s="141"/>
    </row>
    <row r="164" spans="15:16" x14ac:dyDescent="0.3">
      <c r="O164" s="141"/>
      <c r="P164" s="141"/>
    </row>
    <row r="165" spans="15:16" x14ac:dyDescent="0.3">
      <c r="O165" s="141"/>
      <c r="P165" s="141"/>
    </row>
    <row r="166" spans="15:16" x14ac:dyDescent="0.3">
      <c r="O166" s="141"/>
      <c r="P166" s="141"/>
    </row>
    <row r="167" spans="15:16" x14ac:dyDescent="0.3">
      <c r="O167" s="141"/>
      <c r="P167" s="141"/>
    </row>
    <row r="168" spans="15:16" x14ac:dyDescent="0.3">
      <c r="O168" s="141"/>
      <c r="P168" s="141"/>
    </row>
    <row r="169" spans="15:16" x14ac:dyDescent="0.3">
      <c r="O169" s="141"/>
      <c r="P169" s="141"/>
    </row>
    <row r="170" spans="15:16" x14ac:dyDescent="0.3">
      <c r="O170" s="141"/>
      <c r="P170" s="141"/>
    </row>
    <row r="171" spans="15:16" x14ac:dyDescent="0.3">
      <c r="O171" s="141"/>
      <c r="P171" s="141"/>
    </row>
    <row r="172" spans="15:16" x14ac:dyDescent="0.3">
      <c r="O172" s="141"/>
      <c r="P172" s="141"/>
    </row>
    <row r="173" spans="15:16" x14ac:dyDescent="0.3">
      <c r="O173" s="141"/>
      <c r="P173" s="141"/>
    </row>
    <row r="174" spans="15:16" x14ac:dyDescent="0.3">
      <c r="O174" s="141"/>
      <c r="P174" s="141"/>
    </row>
    <row r="175" spans="15:16" x14ac:dyDescent="0.3">
      <c r="O175" s="141"/>
      <c r="P175" s="141"/>
    </row>
    <row r="176" spans="15:16" x14ac:dyDescent="0.3">
      <c r="O176" s="141"/>
      <c r="P176" s="141"/>
    </row>
    <row r="177" spans="15:16" x14ac:dyDescent="0.3">
      <c r="O177" s="141"/>
      <c r="P177" s="141"/>
    </row>
    <row r="178" spans="15:16" x14ac:dyDescent="0.3">
      <c r="O178" s="141"/>
      <c r="P178" s="141"/>
    </row>
    <row r="179" spans="15:16" x14ac:dyDescent="0.3">
      <c r="O179" s="141"/>
      <c r="P179" s="141"/>
    </row>
    <row r="180" spans="15:16" x14ac:dyDescent="0.3">
      <c r="O180" s="141"/>
      <c r="P180" s="141"/>
    </row>
    <row r="181" spans="15:16" x14ac:dyDescent="0.3">
      <c r="O181" s="141"/>
      <c r="P181" s="141"/>
    </row>
    <row r="182" spans="15:16" x14ac:dyDescent="0.3">
      <c r="O182" s="141"/>
      <c r="P182" s="141"/>
    </row>
    <row r="183" spans="15:16" x14ac:dyDescent="0.3">
      <c r="O183" s="141"/>
      <c r="P183" s="141"/>
    </row>
    <row r="184" spans="15:16" x14ac:dyDescent="0.3">
      <c r="O184" s="141"/>
      <c r="P184" s="141"/>
    </row>
    <row r="185" spans="15:16" x14ac:dyDescent="0.3">
      <c r="O185" s="141"/>
      <c r="P185" s="141"/>
    </row>
    <row r="186" spans="15:16" x14ac:dyDescent="0.3">
      <c r="O186" s="141"/>
      <c r="P186" s="141"/>
    </row>
    <row r="187" spans="15:16" x14ac:dyDescent="0.3">
      <c r="O187" s="141"/>
      <c r="P187" s="141"/>
    </row>
    <row r="188" spans="15:16" x14ac:dyDescent="0.3">
      <c r="O188" s="141"/>
      <c r="P188" s="141"/>
    </row>
    <row r="189" spans="15:16" x14ac:dyDescent="0.3">
      <c r="O189" s="141"/>
      <c r="P189" s="141"/>
    </row>
    <row r="190" spans="15:16" x14ac:dyDescent="0.3">
      <c r="O190" s="141"/>
      <c r="P190" s="141"/>
    </row>
    <row r="191" spans="15:16" x14ac:dyDescent="0.3">
      <c r="O191" s="141"/>
      <c r="P191" s="141"/>
    </row>
    <row r="192" spans="15:16" x14ac:dyDescent="0.3">
      <c r="O192" s="141"/>
      <c r="P192" s="141"/>
    </row>
    <row r="193" spans="15:16" x14ac:dyDescent="0.3">
      <c r="O193" s="141"/>
      <c r="P193" s="141"/>
    </row>
    <row r="194" spans="15:16" x14ac:dyDescent="0.3">
      <c r="O194" s="141"/>
      <c r="P194" s="141"/>
    </row>
    <row r="195" spans="15:16" x14ac:dyDescent="0.3">
      <c r="O195" s="141"/>
      <c r="P195" s="141"/>
    </row>
    <row r="196" spans="15:16" x14ac:dyDescent="0.3">
      <c r="O196" s="141"/>
      <c r="P196" s="141"/>
    </row>
    <row r="197" spans="15:16" x14ac:dyDescent="0.3">
      <c r="O197" s="141"/>
      <c r="P197" s="141"/>
    </row>
    <row r="198" spans="15:16" x14ac:dyDescent="0.3">
      <c r="O198" s="141"/>
      <c r="P198" s="141"/>
    </row>
    <row r="199" spans="15:16" x14ac:dyDescent="0.3">
      <c r="O199" s="141"/>
      <c r="P199" s="141"/>
    </row>
    <row r="200" spans="15:16" x14ac:dyDescent="0.3">
      <c r="O200" s="141"/>
      <c r="P200" s="141"/>
    </row>
    <row r="201" spans="15:16" x14ac:dyDescent="0.3">
      <c r="O201" s="141"/>
      <c r="P201" s="141"/>
    </row>
    <row r="202" spans="15:16" x14ac:dyDescent="0.3">
      <c r="O202" s="141"/>
      <c r="P202" s="141"/>
    </row>
    <row r="203" spans="15:16" x14ac:dyDescent="0.3">
      <c r="O203" s="141"/>
      <c r="P203" s="141"/>
    </row>
    <row r="204" spans="15:16" x14ac:dyDescent="0.3">
      <c r="O204" s="141"/>
      <c r="P204" s="141"/>
    </row>
    <row r="205" spans="15:16" x14ac:dyDescent="0.3">
      <c r="O205" s="141"/>
      <c r="P205" s="141"/>
    </row>
    <row r="206" spans="15:16" x14ac:dyDescent="0.3">
      <c r="O206" s="141"/>
      <c r="P206" s="141"/>
    </row>
    <row r="207" spans="15:16" x14ac:dyDescent="0.3">
      <c r="O207" s="141"/>
      <c r="P207" s="141"/>
    </row>
    <row r="208" spans="15:16" x14ac:dyDescent="0.3">
      <c r="O208" s="141"/>
      <c r="P208" s="141"/>
    </row>
    <row r="209" spans="15:16" x14ac:dyDescent="0.3">
      <c r="O209" s="141"/>
      <c r="P209" s="141"/>
    </row>
    <row r="210" spans="15:16" x14ac:dyDescent="0.3">
      <c r="O210" s="141"/>
      <c r="P210" s="141"/>
    </row>
    <row r="211" spans="15:16" x14ac:dyDescent="0.3">
      <c r="O211" s="141"/>
      <c r="P211" s="141"/>
    </row>
    <row r="212" spans="15:16" x14ac:dyDescent="0.3">
      <c r="O212" s="141"/>
      <c r="P212" s="141"/>
    </row>
    <row r="213" spans="15:16" x14ac:dyDescent="0.3">
      <c r="O213" s="141"/>
      <c r="P213" s="141"/>
    </row>
    <row r="214" spans="15:16" x14ac:dyDescent="0.3">
      <c r="O214" s="141"/>
      <c r="P214" s="141"/>
    </row>
    <row r="215" spans="15:16" x14ac:dyDescent="0.3">
      <c r="O215" s="141"/>
      <c r="P215" s="141"/>
    </row>
    <row r="216" spans="15:16" x14ac:dyDescent="0.3">
      <c r="O216" s="141"/>
      <c r="P216" s="141"/>
    </row>
    <row r="217" spans="15:16" x14ac:dyDescent="0.3">
      <c r="O217" s="141"/>
      <c r="P217" s="141"/>
    </row>
    <row r="218" spans="15:16" x14ac:dyDescent="0.3">
      <c r="O218" s="141"/>
      <c r="P218" s="141"/>
    </row>
    <row r="219" spans="15:16" x14ac:dyDescent="0.3">
      <c r="O219" s="141"/>
      <c r="P219" s="141"/>
    </row>
    <row r="220" spans="15:16" x14ac:dyDescent="0.3">
      <c r="O220" s="141"/>
      <c r="P220" s="141"/>
    </row>
    <row r="221" spans="15:16" x14ac:dyDescent="0.3">
      <c r="O221" s="141"/>
      <c r="P221" s="141"/>
    </row>
    <row r="222" spans="15:16" x14ac:dyDescent="0.3">
      <c r="O222" s="141"/>
      <c r="P222" s="141"/>
    </row>
    <row r="223" spans="15:16" x14ac:dyDescent="0.3">
      <c r="O223" s="141"/>
      <c r="P223" s="141"/>
    </row>
    <row r="224" spans="15:16" x14ac:dyDescent="0.3">
      <c r="O224" s="141"/>
      <c r="P224" s="141"/>
    </row>
    <row r="225" spans="15:16" x14ac:dyDescent="0.3">
      <c r="O225" s="141"/>
      <c r="P225" s="141"/>
    </row>
    <row r="226" spans="15:16" x14ac:dyDescent="0.3">
      <c r="O226" s="141"/>
      <c r="P226" s="141"/>
    </row>
    <row r="227" spans="15:16" x14ac:dyDescent="0.3">
      <c r="O227" s="141"/>
      <c r="P227" s="141"/>
    </row>
    <row r="228" spans="15:16" x14ac:dyDescent="0.3">
      <c r="O228" s="141"/>
    </row>
    <row r="229" spans="15:16" x14ac:dyDescent="0.3">
      <c r="O229" s="141"/>
    </row>
    <row r="230" spans="15:16" x14ac:dyDescent="0.3">
      <c r="O230" s="141"/>
    </row>
    <row r="231" spans="15:16" x14ac:dyDescent="0.3">
      <c r="O231" s="141"/>
    </row>
    <row r="232" spans="15:16" x14ac:dyDescent="0.3">
      <c r="O232" s="141"/>
    </row>
    <row r="233" spans="15:16" x14ac:dyDescent="0.3">
      <c r="O233" s="141"/>
    </row>
    <row r="234" spans="15:16" x14ac:dyDescent="0.3">
      <c r="O234" s="141"/>
    </row>
    <row r="235" spans="15:16" x14ac:dyDescent="0.3">
      <c r="O235" s="141"/>
    </row>
    <row r="236" spans="15:16" x14ac:dyDescent="0.3">
      <c r="O236" s="141"/>
    </row>
    <row r="237" spans="15:16" x14ac:dyDescent="0.3">
      <c r="O237" s="141"/>
    </row>
    <row r="238" spans="15:16" x14ac:dyDescent="0.3">
      <c r="O238" s="141"/>
    </row>
    <row r="239" spans="15:16" x14ac:dyDescent="0.3">
      <c r="O239" s="141"/>
    </row>
    <row r="240" spans="15:16" x14ac:dyDescent="0.3">
      <c r="O240" s="141"/>
    </row>
    <row r="241" spans="15:15" x14ac:dyDescent="0.3">
      <c r="O241" s="141"/>
    </row>
    <row r="242" spans="15:15" x14ac:dyDescent="0.3">
      <c r="O242" s="141"/>
    </row>
    <row r="243" spans="15:15" x14ac:dyDescent="0.3">
      <c r="O243" s="141"/>
    </row>
    <row r="244" spans="15:15" x14ac:dyDescent="0.3">
      <c r="O244" s="141"/>
    </row>
    <row r="245" spans="15:15" x14ac:dyDescent="0.3">
      <c r="O245" s="141"/>
    </row>
    <row r="246" spans="15:15" x14ac:dyDescent="0.3">
      <c r="O246" s="141"/>
    </row>
    <row r="247" spans="15:15" x14ac:dyDescent="0.3">
      <c r="O247" s="141"/>
    </row>
    <row r="248" spans="15:15" x14ac:dyDescent="0.3">
      <c r="O248" s="141"/>
    </row>
    <row r="249" spans="15:15" x14ac:dyDescent="0.3">
      <c r="O249" s="141"/>
    </row>
    <row r="250" spans="15:15" x14ac:dyDescent="0.3">
      <c r="O250" s="141"/>
    </row>
    <row r="251" spans="15:15" x14ac:dyDescent="0.3">
      <c r="O251" s="141"/>
    </row>
    <row r="252" spans="15:15" x14ac:dyDescent="0.3">
      <c r="O252" s="141"/>
    </row>
    <row r="253" spans="15:15" x14ac:dyDescent="0.3">
      <c r="O253" s="141"/>
    </row>
    <row r="254" spans="15:15" x14ac:dyDescent="0.3">
      <c r="O254" s="141"/>
    </row>
    <row r="255" spans="15:15" x14ac:dyDescent="0.3">
      <c r="O255" s="141"/>
    </row>
    <row r="256" spans="15:15" x14ac:dyDescent="0.3">
      <c r="O256" s="141"/>
    </row>
    <row r="257" spans="15:15" x14ac:dyDescent="0.3">
      <c r="O257" s="141"/>
    </row>
    <row r="258" spans="15:15" x14ac:dyDescent="0.3">
      <c r="O258" s="141"/>
    </row>
    <row r="259" spans="15:15" x14ac:dyDescent="0.3">
      <c r="O259" s="141"/>
    </row>
    <row r="260" spans="15:15" x14ac:dyDescent="0.3">
      <c r="O260" s="141"/>
    </row>
    <row r="261" spans="15:15" x14ac:dyDescent="0.3">
      <c r="O261" s="141"/>
    </row>
    <row r="262" spans="15:15" x14ac:dyDescent="0.3">
      <c r="O262" s="141"/>
    </row>
    <row r="263" spans="15:15" x14ac:dyDescent="0.3">
      <c r="O263" s="141"/>
    </row>
    <row r="264" spans="15:15" x14ac:dyDescent="0.3">
      <c r="O264" s="141"/>
    </row>
    <row r="265" spans="15:15" x14ac:dyDescent="0.3">
      <c r="O265" s="141"/>
    </row>
    <row r="266" spans="15:15" x14ac:dyDescent="0.3">
      <c r="O266" s="141"/>
    </row>
    <row r="267" spans="15:15" x14ac:dyDescent="0.3">
      <c r="O267" s="141"/>
    </row>
    <row r="268" spans="15:15" x14ac:dyDescent="0.3">
      <c r="O268" s="141"/>
    </row>
    <row r="269" spans="15:15" x14ac:dyDescent="0.3">
      <c r="O269" s="141"/>
    </row>
    <row r="270" spans="15:15" x14ac:dyDescent="0.3">
      <c r="O270" s="141"/>
    </row>
    <row r="271" spans="15:15" x14ac:dyDescent="0.3">
      <c r="O271" s="141"/>
    </row>
    <row r="272" spans="15:15" x14ac:dyDescent="0.3">
      <c r="O272" s="141"/>
    </row>
    <row r="273" spans="15:15" x14ac:dyDescent="0.3">
      <c r="O273" s="141"/>
    </row>
    <row r="274" spans="15:15" x14ac:dyDescent="0.3">
      <c r="O274" s="141"/>
    </row>
    <row r="275" spans="15:15" x14ac:dyDescent="0.3">
      <c r="O275" s="141"/>
    </row>
    <row r="276" spans="15:15" x14ac:dyDescent="0.3">
      <c r="O276" s="141"/>
    </row>
    <row r="277" spans="15:15" x14ac:dyDescent="0.3">
      <c r="O277" s="141"/>
    </row>
    <row r="278" spans="15:15" x14ac:dyDescent="0.3">
      <c r="O278" s="141"/>
    </row>
    <row r="279" spans="15:15" x14ac:dyDescent="0.3">
      <c r="O279" s="141"/>
    </row>
    <row r="280" spans="15:15" x14ac:dyDescent="0.3">
      <c r="O280" s="141"/>
    </row>
    <row r="281" spans="15:15" x14ac:dyDescent="0.3">
      <c r="O281" s="141"/>
    </row>
    <row r="282" spans="15:15" x14ac:dyDescent="0.3">
      <c r="O282" s="141"/>
    </row>
    <row r="283" spans="15:15" x14ac:dyDescent="0.3">
      <c r="O283" s="141"/>
    </row>
    <row r="284" spans="15:15" x14ac:dyDescent="0.3">
      <c r="O284" s="141"/>
    </row>
    <row r="285" spans="15:15" x14ac:dyDescent="0.3">
      <c r="O285" s="141"/>
    </row>
    <row r="286" spans="15:15" x14ac:dyDescent="0.3">
      <c r="O286" s="141"/>
    </row>
    <row r="287" spans="15:15" x14ac:dyDescent="0.3">
      <c r="O287" s="141"/>
    </row>
    <row r="288" spans="15:15" x14ac:dyDescent="0.3">
      <c r="O288" s="141"/>
    </row>
    <row r="289" spans="15:15" x14ac:dyDescent="0.3">
      <c r="O289" s="141"/>
    </row>
    <row r="290" spans="15:15" x14ac:dyDescent="0.3">
      <c r="O290" s="141"/>
    </row>
    <row r="291" spans="15:15" x14ac:dyDescent="0.3">
      <c r="O291" s="141"/>
    </row>
  </sheetData>
  <sheetProtection selectLockedCells="1"/>
  <mergeCells count="6">
    <mergeCell ref="M12:O15"/>
    <mergeCell ref="A43:C45"/>
    <mergeCell ref="A42:K42"/>
    <mergeCell ref="F43:K43"/>
    <mergeCell ref="F44:K44"/>
    <mergeCell ref="F45:K45"/>
  </mergeCells>
  <conditionalFormatting sqref="A1:XFD1048576">
    <cfRule type="containsErrors" dxfId="3" priority="1">
      <formula>ISERROR(A1)</formula>
    </cfRule>
  </conditionalFormatting>
  <printOptions horizontalCentered="1" verticalCentered="1"/>
  <pageMargins left="0.25" right="0.25" top="0.75" bottom="0.75" header="0.3" footer="0.3"/>
  <pageSetup orientation="portrait" r:id="rId1"/>
  <headerFooter>
    <oddHeader>&amp;C&amp;"Arial,Bold"&amp;12OSMRE Blast-Induced Vibration Data Evaluation</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U316"/>
  <sheetViews>
    <sheetView showZeros="0" view="pageBreakPreview" zoomScaleNormal="100" zoomScaleSheetLayoutView="100" workbookViewId="0">
      <pane ySplit="6" topLeftCell="A7" activePane="bottomLeft" state="frozen"/>
      <selection activeCell="N1" sqref="N1"/>
      <selection pane="bottomLeft" activeCell="N1" sqref="N1"/>
    </sheetView>
  </sheetViews>
  <sheetFormatPr defaultColWidth="9.109375" defaultRowHeight="18.75" customHeight="1" x14ac:dyDescent="0.3"/>
  <cols>
    <col min="1" max="1" width="9.109375" style="53" customWidth="1"/>
    <col min="2" max="2" width="14.33203125" style="71" customWidth="1"/>
    <col min="3" max="3" width="14.88671875" style="72" bestFit="1" customWidth="1"/>
    <col min="4" max="5" width="17.109375" style="73" customWidth="1"/>
    <col min="6" max="6" width="17.109375" style="63" customWidth="1"/>
    <col min="7" max="7" width="14.33203125" style="74" customWidth="1"/>
    <col min="8" max="8" width="21.44140625" style="66" customWidth="1"/>
    <col min="9" max="9" width="17" style="67" customWidth="1"/>
    <col min="10" max="10" width="17" style="66" customWidth="1"/>
    <col min="11" max="11" width="21.44140625" style="66" customWidth="1"/>
    <col min="12" max="12" width="16.44140625" style="68" customWidth="1"/>
    <col min="13" max="13" width="17.109375" style="68" customWidth="1"/>
    <col min="14" max="14" width="15.6640625" style="62" customWidth="1"/>
    <col min="15" max="15" width="15.44140625" style="62" customWidth="1"/>
    <col min="16" max="16" width="20.44140625" style="62" customWidth="1"/>
    <col min="17" max="17" width="13.33203125" style="62" customWidth="1"/>
    <col min="18" max="18" width="20.44140625" style="62" customWidth="1"/>
    <col min="19" max="19" width="11" style="62" customWidth="1"/>
    <col min="20" max="21" width="9.109375" style="62"/>
    <col min="22" max="16384" width="9.109375" style="63"/>
  </cols>
  <sheetData>
    <row r="1" spans="1:21" s="35" customFormat="1" ht="18.75" customHeight="1" x14ac:dyDescent="0.3">
      <c r="A1" s="210" t="s">
        <v>50</v>
      </c>
      <c r="B1" s="211"/>
      <c r="C1" s="249" t="str">
        <f>Input_Data!C1</f>
        <v>OSMRE</v>
      </c>
      <c r="D1" s="250"/>
      <c r="E1" s="251"/>
      <c r="F1" s="33" t="s">
        <v>112</v>
      </c>
      <c r="G1" s="252" t="str">
        <f>Input_Data!H1</f>
        <v>Pittsburgh Mine</v>
      </c>
      <c r="H1" s="250"/>
      <c r="I1" s="250"/>
      <c r="J1" s="251"/>
      <c r="K1" s="33" t="s">
        <v>52</v>
      </c>
      <c r="L1" s="253">
        <f>Input_Data!M1</f>
        <v>43466</v>
      </c>
      <c r="M1" s="254"/>
      <c r="N1" s="34"/>
      <c r="O1" s="34"/>
      <c r="P1" s="34"/>
      <c r="Q1" s="34"/>
    </row>
    <row r="2" spans="1:21" s="35" customFormat="1" ht="18.75" customHeight="1" x14ac:dyDescent="0.3">
      <c r="A2" s="210" t="s">
        <v>51</v>
      </c>
      <c r="B2" s="211"/>
      <c r="C2" s="252" t="str">
        <f>Input_Data!C2</f>
        <v>Top Flight Blasting</v>
      </c>
      <c r="D2" s="250"/>
      <c r="E2" s="251"/>
      <c r="F2" s="33" t="s">
        <v>57</v>
      </c>
      <c r="G2" s="252" t="str">
        <f>Input_Data!H2</f>
        <v>D-12345</v>
      </c>
      <c r="H2" s="250"/>
      <c r="I2" s="250"/>
      <c r="J2" s="251"/>
      <c r="K2" s="33" t="s">
        <v>53</v>
      </c>
      <c r="L2" s="255" t="str">
        <f>Input_Data!M2</f>
        <v>Brian Farmer, P.E.</v>
      </c>
      <c r="M2" s="256"/>
      <c r="N2" s="34"/>
      <c r="O2" s="34"/>
      <c r="P2" s="34"/>
      <c r="Q2" s="34"/>
    </row>
    <row r="3" spans="1:21" s="35" customFormat="1" ht="18.75" customHeight="1" x14ac:dyDescent="0.3">
      <c r="A3" s="203" t="s">
        <v>113</v>
      </c>
      <c r="B3" s="204"/>
      <c r="C3" s="204"/>
      <c r="D3" s="204"/>
      <c r="E3" s="204"/>
      <c r="F3" s="204"/>
      <c r="G3" s="204"/>
      <c r="H3" s="246" t="s">
        <v>85</v>
      </c>
      <c r="I3" s="247"/>
      <c r="J3" s="248"/>
      <c r="K3" s="246" t="s">
        <v>111</v>
      </c>
      <c r="L3" s="247"/>
      <c r="M3" s="248"/>
      <c r="N3" s="36"/>
      <c r="O3" s="37"/>
      <c r="P3" s="37"/>
      <c r="Q3" s="37"/>
      <c r="R3" s="38"/>
      <c r="S3" s="38"/>
    </row>
    <row r="4" spans="1:21" s="44" customFormat="1" ht="18.75" customHeight="1" x14ac:dyDescent="0.4">
      <c r="A4" s="39" t="s">
        <v>0</v>
      </c>
      <c r="B4" s="40" t="s">
        <v>1</v>
      </c>
      <c r="C4" s="41" t="s">
        <v>3</v>
      </c>
      <c r="D4" s="40" t="s">
        <v>4</v>
      </c>
      <c r="E4" s="40" t="s">
        <v>5</v>
      </c>
      <c r="F4" s="40" t="s">
        <v>6</v>
      </c>
      <c r="G4" s="40" t="s">
        <v>49</v>
      </c>
      <c r="H4" s="42" t="s">
        <v>141</v>
      </c>
      <c r="I4" s="42" t="s">
        <v>90</v>
      </c>
      <c r="J4" s="42" t="s">
        <v>7</v>
      </c>
      <c r="K4" s="42" t="s">
        <v>143</v>
      </c>
      <c r="L4" s="42" t="s">
        <v>91</v>
      </c>
      <c r="M4" s="42" t="s">
        <v>101</v>
      </c>
      <c r="N4" s="43"/>
      <c r="O4" s="43"/>
      <c r="P4" s="43"/>
      <c r="Q4" s="43"/>
      <c r="R4" s="43"/>
      <c r="S4" s="43"/>
      <c r="T4" s="43"/>
      <c r="U4" s="43"/>
    </row>
    <row r="5" spans="1:21" s="44" customFormat="1" ht="18.75" customHeight="1" x14ac:dyDescent="0.3">
      <c r="A5" s="45"/>
      <c r="B5" s="46"/>
      <c r="C5" s="47" t="s">
        <v>139</v>
      </c>
      <c r="D5" s="46" t="s">
        <v>140</v>
      </c>
      <c r="E5" s="46" t="s">
        <v>86</v>
      </c>
      <c r="F5" s="46" t="s">
        <v>87</v>
      </c>
      <c r="G5" s="46" t="s">
        <v>99</v>
      </c>
      <c r="H5" s="48" t="s">
        <v>145</v>
      </c>
      <c r="I5" s="48"/>
      <c r="J5" s="48"/>
      <c r="K5" s="48" t="s">
        <v>146</v>
      </c>
      <c r="L5" s="48"/>
      <c r="M5" s="48"/>
      <c r="N5" s="43"/>
      <c r="O5" s="43"/>
      <c r="P5" s="43"/>
      <c r="Q5" s="43"/>
      <c r="R5" s="43"/>
      <c r="S5" s="43"/>
      <c r="T5" s="43"/>
      <c r="U5" s="43"/>
    </row>
    <row r="6" spans="1:21" s="44" customFormat="1" ht="18.75" customHeight="1" x14ac:dyDescent="0.3">
      <c r="B6" s="49" t="s">
        <v>2</v>
      </c>
      <c r="C6" s="50"/>
      <c r="D6" s="49" t="s">
        <v>71</v>
      </c>
      <c r="E6" s="49" t="s">
        <v>72</v>
      </c>
      <c r="F6" s="49" t="s">
        <v>70</v>
      </c>
      <c r="G6" s="49" t="s">
        <v>74</v>
      </c>
      <c r="H6" s="51" t="s">
        <v>92</v>
      </c>
      <c r="I6" s="51" t="s">
        <v>92</v>
      </c>
      <c r="J6" s="51" t="s">
        <v>70</v>
      </c>
      <c r="K6" s="51" t="s">
        <v>93</v>
      </c>
      <c r="L6" s="52" t="s">
        <v>94</v>
      </c>
      <c r="M6" s="51" t="s">
        <v>74</v>
      </c>
      <c r="N6" s="43"/>
      <c r="O6" s="43"/>
      <c r="P6" s="43"/>
      <c r="Q6" s="43"/>
      <c r="R6" s="43"/>
      <c r="S6" s="43"/>
      <c r="T6" s="43"/>
      <c r="U6" s="43"/>
    </row>
    <row r="7" spans="1:21" ht="18.75" customHeight="1" x14ac:dyDescent="0.3">
      <c r="A7" s="53">
        <v>1</v>
      </c>
      <c r="B7" s="54">
        <f>IF(Input_Data!B7="",NA(),Input_Data!B7)</f>
        <v>36996</v>
      </c>
      <c r="C7" s="55" t="str">
        <f>IF(Input_Data!C7="",NA(),Input_Data!C7)</f>
        <v>Seis 15 A</v>
      </c>
      <c r="D7" s="56">
        <f>IF(Input_Data!D7="",NA(),CONVERT(Input_Data!D7,"ft","m"))</f>
        <v>15.24</v>
      </c>
      <c r="E7" s="57">
        <f>IF(Input_Data!E7="",NA(),CONVERT(Input_Data!E7,"lbm","g")/1000)</f>
        <v>193.45714580500001</v>
      </c>
      <c r="F7" s="58">
        <f>IF(Input_Data!F7="",NA(),CONVERT(Input_Data!F7,"in","m")*1000)</f>
        <v>129.03200000000001</v>
      </c>
      <c r="G7" s="58">
        <f>IF(Input_Data!K7="",NA(),CONVERT(Input_Data!K7,"psi","Pa"))</f>
        <v>178.20380826648301</v>
      </c>
      <c r="H7" s="59">
        <f>IF(OR(D7="",E7=""),NA(),D7/(E7^0.5))</f>
        <v>1.0957023143534443</v>
      </c>
      <c r="I7" s="60">
        <f>IFERROR(LOG(H7),NA())</f>
        <v>3.9692578971165696E-2</v>
      </c>
      <c r="J7" s="59">
        <f>IFERROR(LOG(F7),NA())</f>
        <v>2.1106974289038574</v>
      </c>
      <c r="K7" s="59">
        <f>IF(OR(D7="",E7=""),NA(),D7/(E7^(1/3)))</f>
        <v>2.635057167438323</v>
      </c>
      <c r="L7" s="61">
        <f>IFERROR(LOG(K7),NA())</f>
        <v>0.4207900416486377</v>
      </c>
      <c r="M7" s="61">
        <f>IFERROR(LOG(G7),NA())</f>
        <v>2.2509169807976392</v>
      </c>
    </row>
    <row r="8" spans="1:21" ht="18.75" customHeight="1" x14ac:dyDescent="0.3">
      <c r="A8" s="53">
        <v>2</v>
      </c>
      <c r="B8" s="54">
        <f>IF(Input_Data!B8="",NA(),Input_Data!B8)</f>
        <v>36996</v>
      </c>
      <c r="C8" s="55" t="str">
        <f>IF(Input_Data!C8="",NA(),Input_Data!C8)</f>
        <v>Seis 15</v>
      </c>
      <c r="D8" s="56">
        <f>IF(Input_Data!D8="",NA(),CONVERT(Input_Data!D8,"ft","m"))</f>
        <v>109.42319999999999</v>
      </c>
      <c r="E8" s="57">
        <f>IF(Input_Data!E8="",NA(),CONVERT(Input_Data!E8,"lbm","g")/1000)</f>
        <v>193.45714580500001</v>
      </c>
      <c r="F8" s="58">
        <f>IF(Input_Data!F8="",NA(),CONVERT(Input_Data!F8,"in","m")*1000)</f>
        <v>113.792</v>
      </c>
      <c r="G8" s="58">
        <f>IF(Input_Data!K8="",NA(),CONVERT(Input_Data!K8,"psi","Pa"))</f>
        <v>63.229097185361127</v>
      </c>
      <c r="H8" s="59">
        <f t="shared" ref="H8:H71" si="0">IF(OR(D8="",E8=""),NA(),D8/(E8^0.5))</f>
        <v>7.8671426170577297</v>
      </c>
      <c r="I8" s="60">
        <f t="shared" ref="I8:I71" si="1">IFERROR(LOG(H8),NA())</f>
        <v>0.89581702321346601</v>
      </c>
      <c r="J8" s="59">
        <f t="shared" ref="J8:J71" si="2">IFERROR(LOG(F8),NA())</f>
        <v>2.0561117306180821</v>
      </c>
      <c r="K8" s="59">
        <f t="shared" ref="K8:K71" si="3">IF(OR(D8="",E8=""),NA(),D8/(E8^(1/3)))</f>
        <v>18.91971046220716</v>
      </c>
      <c r="L8" s="61">
        <f t="shared" ref="L8:L71" si="4">IFERROR(LOG(K8),NA())</f>
        <v>1.276914485890938</v>
      </c>
      <c r="M8" s="61">
        <f t="shared" ref="M8:M71" si="5">IFERROR(LOG(G8),NA())</f>
        <v>1.8009169807976397</v>
      </c>
    </row>
    <row r="9" spans="1:21" ht="18.75" customHeight="1" x14ac:dyDescent="0.3">
      <c r="A9" s="53">
        <v>3</v>
      </c>
      <c r="B9" s="54">
        <f>IF(Input_Data!B9="",NA(),Input_Data!B9)</f>
        <v>36996</v>
      </c>
      <c r="C9" s="55" t="str">
        <f>IF(Input_Data!C9="",NA(),Input_Data!C9)</f>
        <v>Seis 16</v>
      </c>
      <c r="D9" s="56">
        <f>IF(Input_Data!D9="",NA(),CONVERT(Input_Data!D9,"ft","m"))</f>
        <v>207.26400000000001</v>
      </c>
      <c r="E9" s="57">
        <f>IF(Input_Data!E9="",NA(),CONVERT(Input_Data!E9,"lbm","g")/1000)</f>
        <v>193.45714580500001</v>
      </c>
      <c r="F9" s="58">
        <f>IF(Input_Data!F9="",NA(),CONVERT(Input_Data!F9,"in","m")*1000)</f>
        <v>45.72</v>
      </c>
      <c r="G9" s="58">
        <f>IF(Input_Data!K9="",NA(),CONVERT(Input_Data!K9,"psi","Pa"))</f>
        <v>39.894863253955457</v>
      </c>
      <c r="H9" s="59">
        <f t="shared" si="0"/>
        <v>14.901551475206844</v>
      </c>
      <c r="I9" s="60">
        <f t="shared" si="1"/>
        <v>1.1732314873413832</v>
      </c>
      <c r="J9" s="59">
        <f t="shared" si="2"/>
        <v>1.6601062217232441</v>
      </c>
      <c r="K9" s="59">
        <f t="shared" si="3"/>
        <v>35.836777477161199</v>
      </c>
      <c r="L9" s="61">
        <f t="shared" si="4"/>
        <v>1.5543289500188553</v>
      </c>
      <c r="M9" s="61">
        <f t="shared" si="5"/>
        <v>1.6009169807976391</v>
      </c>
    </row>
    <row r="10" spans="1:21" ht="18.75" customHeight="1" x14ac:dyDescent="0.3">
      <c r="A10" s="53">
        <v>4</v>
      </c>
      <c r="B10" s="54">
        <f>IF(Input_Data!B10="",NA(),Input_Data!B10)</f>
        <v>36996</v>
      </c>
      <c r="C10" s="55" t="str">
        <f>IF(Input_Data!C10="",NA(),Input_Data!C10)</f>
        <v>Seis 17</v>
      </c>
      <c r="D10" s="56">
        <f>IF(Input_Data!D10="",NA(),CONVERT(Input_Data!D10,"ft","m"))</f>
        <v>303.27600000000001</v>
      </c>
      <c r="E10" s="57">
        <f>IF(Input_Data!E10="",NA(),CONVERT(Input_Data!E10,"lbm","g")/1000)</f>
        <v>193.45714580500001</v>
      </c>
      <c r="F10" s="58">
        <f>IF(Input_Data!F10="",NA(),CONVERT(Input_Data!F10,"in","m")*1000)</f>
        <v>17.526</v>
      </c>
      <c r="G10" s="58">
        <f>IF(Input_Data!K10="",NA(),CONVERT(Input_Data!K10,"psi","Pa"))</f>
        <v>25.171956977116178</v>
      </c>
      <c r="H10" s="59">
        <f t="shared" si="0"/>
        <v>21.804476055633543</v>
      </c>
      <c r="I10" s="60">
        <f t="shared" si="1"/>
        <v>1.3385456553808723</v>
      </c>
      <c r="J10" s="59">
        <f t="shared" si="2"/>
        <v>1.2436828073571933</v>
      </c>
      <c r="K10" s="59">
        <f t="shared" si="3"/>
        <v>52.437637632022629</v>
      </c>
      <c r="L10" s="61">
        <f t="shared" si="4"/>
        <v>1.7196431180583445</v>
      </c>
      <c r="M10" s="61">
        <f t="shared" si="5"/>
        <v>1.4009169807976389</v>
      </c>
    </row>
    <row r="11" spans="1:21" ht="18.75" customHeight="1" x14ac:dyDescent="0.3">
      <c r="A11" s="53">
        <v>5</v>
      </c>
      <c r="B11" s="54">
        <f>IF(Input_Data!B11="",NA(),Input_Data!B11)</f>
        <v>36996</v>
      </c>
      <c r="C11" s="55" t="str">
        <f>IF(Input_Data!C11="",NA(),Input_Data!C11)</f>
        <v>Seis 18</v>
      </c>
      <c r="D11" s="56">
        <f>IF(Input_Data!D11="",NA(),CONVERT(Input_Data!D11,"ft","m"))</f>
        <v>370.02719999999999</v>
      </c>
      <c r="E11" s="57">
        <f>IF(Input_Data!E11="",NA(),CONVERT(Input_Data!E11,"lbm","g")/1000)</f>
        <v>193.45714580500001</v>
      </c>
      <c r="F11" s="58">
        <f>IF(Input_Data!F11="",NA(),CONVERT(Input_Data!F11,"in","m")*1000)</f>
        <v>9.652000000000001</v>
      </c>
      <c r="G11" s="58">
        <f>IF(Input_Data!K11="",NA(),CONVERT(Input_Data!K11,"psi","Pa"))</f>
        <v>17.820380826648311</v>
      </c>
      <c r="H11" s="59">
        <f t="shared" si="0"/>
        <v>26.603652192501627</v>
      </c>
      <c r="I11" s="60">
        <f t="shared" si="1"/>
        <v>1.4249412613743857</v>
      </c>
      <c r="J11" s="59">
        <f t="shared" si="2"/>
        <v>0.98461731323674828</v>
      </c>
      <c r="K11" s="59">
        <f t="shared" si="3"/>
        <v>63.979188025402486</v>
      </c>
      <c r="L11" s="61">
        <f t="shared" si="4"/>
        <v>1.8060387240518576</v>
      </c>
      <c r="M11" s="61">
        <f t="shared" si="5"/>
        <v>1.2509169807976397</v>
      </c>
    </row>
    <row r="12" spans="1:21" ht="18.75" customHeight="1" x14ac:dyDescent="0.3">
      <c r="A12" s="53">
        <v>6</v>
      </c>
      <c r="B12" s="54">
        <f>IF(Input_Data!B12="",NA(),Input_Data!B12)</f>
        <v>36996</v>
      </c>
      <c r="C12" s="55" t="str">
        <f>IF(Input_Data!C12="",NA(),Input_Data!C12)</f>
        <v>Seis 19</v>
      </c>
      <c r="D12" s="56">
        <f>IF(Input_Data!D12="",NA(),CONVERT(Input_Data!D12,"ft","m"))</f>
        <v>885.13919999999996</v>
      </c>
      <c r="E12" s="57">
        <f>IF(Input_Data!E12="",NA(),CONVERT(Input_Data!E12,"lbm","g")/1000)</f>
        <v>193.45714580500001</v>
      </c>
      <c r="F12" s="58">
        <f>IF(Input_Data!F12="",NA(),CONVERT(Input_Data!F12,"in","m")*1000)</f>
        <v>1.27</v>
      </c>
      <c r="G12" s="58">
        <f>IF(Input_Data!K12="",NA(),CONVERT(Input_Data!K12,"psi","Pa"))</f>
        <v>7.9600717211454013</v>
      </c>
      <c r="H12" s="59">
        <f t="shared" si="0"/>
        <v>63.638390417648047</v>
      </c>
      <c r="I12" s="60">
        <f t="shared" si="1"/>
        <v>1.803719186663203</v>
      </c>
      <c r="J12" s="59">
        <f t="shared" si="2"/>
        <v>0.10380372095595687</v>
      </c>
      <c r="K12" s="59">
        <f t="shared" si="3"/>
        <v>153.04412028481781</v>
      </c>
      <c r="L12" s="61">
        <f t="shared" si="4"/>
        <v>2.1848166493406751</v>
      </c>
      <c r="M12" s="61">
        <f t="shared" si="5"/>
        <v>0.90091698079763882</v>
      </c>
    </row>
    <row r="13" spans="1:21" ht="18.75" customHeight="1" x14ac:dyDescent="0.3">
      <c r="A13" s="53">
        <v>7</v>
      </c>
      <c r="B13" s="54">
        <f>IF(Input_Data!B13="",NA(),Input_Data!B13)</f>
        <v>36996</v>
      </c>
      <c r="C13" s="55" t="str">
        <f>IF(Input_Data!C13="",NA(),Input_Data!C13)</f>
        <v>Seis 21</v>
      </c>
      <c r="D13" s="56">
        <f>IF(Input_Data!D13="",NA(),CONVERT(Input_Data!D13,"ft","m"))</f>
        <v>997.91520000000003</v>
      </c>
      <c r="E13" s="57">
        <f>IF(Input_Data!E13="",NA(),CONVERT(Input_Data!E13,"lbm","g")/1000)</f>
        <v>193.45714580500001</v>
      </c>
      <c r="F13" s="58">
        <f>IF(Input_Data!F13="",NA(),CONVERT(Input_Data!F13,"in","m")*1000)</f>
        <v>0.76200000000000001</v>
      </c>
      <c r="G13" s="58">
        <f>IF(Input_Data!K13="",NA(),CONVERT(Input_Data!K13,"psi","Pa"))</f>
        <v>5.6352992183802844</v>
      </c>
      <c r="H13" s="59">
        <f t="shared" si="0"/>
        <v>71.746587543863541</v>
      </c>
      <c r="I13" s="60">
        <f t="shared" si="1"/>
        <v>1.8558012497110696</v>
      </c>
      <c r="J13" s="59">
        <f t="shared" si="2"/>
        <v>-0.1180450286603995</v>
      </c>
      <c r="K13" s="59">
        <f t="shared" si="3"/>
        <v>172.5435433238614</v>
      </c>
      <c r="L13" s="61">
        <f t="shared" si="4"/>
        <v>2.2368987123885415</v>
      </c>
      <c r="M13" s="61">
        <f t="shared" si="5"/>
        <v>0.75091698079763947</v>
      </c>
    </row>
    <row r="14" spans="1:21" ht="18.75" customHeight="1" x14ac:dyDescent="0.3">
      <c r="A14" s="53">
        <v>8</v>
      </c>
      <c r="B14" s="54">
        <f>IF(Input_Data!B14="",NA(),Input_Data!B14)</f>
        <v>37092</v>
      </c>
      <c r="C14" s="55" t="str">
        <f>IF(Input_Data!C14="",NA(),Input_Data!C14)</f>
        <v>Seis 1A</v>
      </c>
      <c r="D14" s="56">
        <f>IF(Input_Data!D14="",NA(),CONVERT(Input_Data!D14,"ft","m"))</f>
        <v>15.24</v>
      </c>
      <c r="E14" s="57">
        <f>IF(Input_Data!E14="",NA(),CONVERT(Input_Data!E14,"lbm","g")/1000)</f>
        <v>163.29325320000001</v>
      </c>
      <c r="F14" s="58">
        <f>IF(Input_Data!F14="",NA(),CONVERT(Input_Data!F14,"in","m")*1000)</f>
        <v>176.78399999999999</v>
      </c>
      <c r="G14" s="58">
        <f>IF(Input_Data!K14="",NA(),CONVERT(Input_Data!K14,"psi","Pa"))</f>
        <v>112.43900164007762</v>
      </c>
      <c r="H14" s="59">
        <f t="shared" si="0"/>
        <v>1.1926165899868895</v>
      </c>
      <c r="I14" s="60">
        <f t="shared" si="1"/>
        <v>7.6500846339293008E-2</v>
      </c>
      <c r="J14" s="59">
        <f t="shared" si="2"/>
        <v>2.2474429562305001</v>
      </c>
      <c r="K14" s="59">
        <f t="shared" si="3"/>
        <v>2.788231867460945</v>
      </c>
      <c r="L14" s="61">
        <f t="shared" si="4"/>
        <v>0.44532888656072261</v>
      </c>
      <c r="M14" s="61">
        <f t="shared" si="5"/>
        <v>2.0509169807976395</v>
      </c>
    </row>
    <row r="15" spans="1:21" ht="18.75" customHeight="1" x14ac:dyDescent="0.3">
      <c r="A15" s="53">
        <v>9</v>
      </c>
      <c r="B15" s="54">
        <f>IF(Input_Data!B15="",NA(),Input_Data!B15)</f>
        <v>37092</v>
      </c>
      <c r="C15" s="55" t="str">
        <f>IF(Input_Data!C15="",NA(),Input_Data!C15)</f>
        <v>Seis 2A</v>
      </c>
      <c r="D15" s="56">
        <f>IF(Input_Data!D15="",NA(),CONVERT(Input_Data!D15,"ft","m"))</f>
        <v>98.755200000000002</v>
      </c>
      <c r="E15" s="57">
        <f>IF(Input_Data!E15="",NA(),CONVERT(Input_Data!E15,"lbm","g")/1000)</f>
        <v>163.29325320000001</v>
      </c>
      <c r="F15" s="58">
        <f>IF(Input_Data!F15="",NA(),CONVERT(Input_Data!F15,"in","m")*1000)</f>
        <v>40.64</v>
      </c>
      <c r="G15" s="58">
        <f>IF(Input_Data!K15="",NA(),CONVERT(Input_Data!K15,"psi","Pa"))</f>
        <v>35.556334301805308</v>
      </c>
      <c r="H15" s="59">
        <f t="shared" si="0"/>
        <v>7.7281555031150431</v>
      </c>
      <c r="I15" s="60">
        <f t="shared" si="1"/>
        <v>0.88807585220988627</v>
      </c>
      <c r="J15" s="59">
        <f t="shared" si="2"/>
        <v>1.6089536992758628</v>
      </c>
      <c r="K15" s="59">
        <f t="shared" si="3"/>
        <v>18.067742501146924</v>
      </c>
      <c r="L15" s="61">
        <f t="shared" si="4"/>
        <v>1.2569038924313158</v>
      </c>
      <c r="M15" s="61">
        <f t="shared" si="5"/>
        <v>1.5509169807976393</v>
      </c>
    </row>
    <row r="16" spans="1:21" ht="18.75" customHeight="1" x14ac:dyDescent="0.3">
      <c r="A16" s="53">
        <v>10</v>
      </c>
      <c r="B16" s="54">
        <f>IF(Input_Data!B16="",NA(),Input_Data!B16)</f>
        <v>37092</v>
      </c>
      <c r="C16" s="55" t="str">
        <f>IF(Input_Data!C16="",NA(),Input_Data!C16)</f>
        <v>Seis 3</v>
      </c>
      <c r="D16" s="56">
        <f>IF(Input_Data!D16="",NA(),CONVERT(Input_Data!D16,"ft","m"))</f>
        <v>216.71279999999999</v>
      </c>
      <c r="E16" s="57">
        <f>IF(Input_Data!E16="",NA(),CONVERT(Input_Data!E16,"lbm","g")/1000)</f>
        <v>163.29325320000001</v>
      </c>
      <c r="F16" s="58">
        <f>IF(Input_Data!F16="",NA(),CONVERT(Input_Data!F16,"in","m")*1000)</f>
        <v>10.921999999999999</v>
      </c>
      <c r="G16" s="58">
        <f>IF(Input_Data!K16="",NA(),CONVERT(Input_Data!K16,"psi","Pa"))</f>
        <v>22.434530270517083</v>
      </c>
      <c r="H16" s="59">
        <f t="shared" si="0"/>
        <v>16.959007909613565</v>
      </c>
      <c r="I16" s="60">
        <f t="shared" si="1"/>
        <v>1.2294004427330405</v>
      </c>
      <c r="J16" s="59">
        <f t="shared" si="2"/>
        <v>1.0383021721995245</v>
      </c>
      <c r="K16" s="59">
        <f t="shared" si="3"/>
        <v>39.648657155294629</v>
      </c>
      <c r="L16" s="61">
        <f t="shared" si="4"/>
        <v>1.59822848295447</v>
      </c>
      <c r="M16" s="61">
        <f t="shared" si="5"/>
        <v>1.3509169807976391</v>
      </c>
    </row>
    <row r="17" spans="1:13" s="62" customFormat="1" ht="18.75" customHeight="1" x14ac:dyDescent="0.3">
      <c r="A17" s="53">
        <v>11</v>
      </c>
      <c r="B17" s="54">
        <f>IF(Input_Data!B17="",NA(),Input_Data!B17)</f>
        <v>37092</v>
      </c>
      <c r="C17" s="55" t="str">
        <f>IF(Input_Data!C17="",NA(),Input_Data!C17)</f>
        <v>Seis 4</v>
      </c>
      <c r="D17" s="56">
        <f>IF(Input_Data!D17="",NA(),CONVERT(Input_Data!D17,"ft","m"))</f>
        <v>337.71839999999997</v>
      </c>
      <c r="E17" s="57">
        <f>IF(Input_Data!E17="",NA(),CONVERT(Input_Data!E17,"lbm","g")/1000)</f>
        <v>163.29325320000001</v>
      </c>
      <c r="F17" s="58">
        <f>IF(Input_Data!F17="",NA(),CONVERT(Input_Data!F17,"in","m")*1000)</f>
        <v>6.8580000000000005</v>
      </c>
      <c r="G17" s="58">
        <f>IF(Input_Data!K17="",NA(),CONVERT(Input_Data!K17,"psi","Pa"))</f>
        <v>14.155231644145974</v>
      </c>
      <c r="H17" s="59">
        <f t="shared" si="0"/>
        <v>26.428383634109466</v>
      </c>
      <c r="I17" s="60">
        <f t="shared" si="1"/>
        <v>1.4220706023956851</v>
      </c>
      <c r="J17" s="59">
        <f t="shared" si="2"/>
        <v>0.83619748077892542</v>
      </c>
      <c r="K17" s="59">
        <f t="shared" si="3"/>
        <v>61.787218182934531</v>
      </c>
      <c r="L17" s="61">
        <f t="shared" si="4"/>
        <v>1.7908986426171147</v>
      </c>
      <c r="M17" s="61">
        <f t="shared" si="5"/>
        <v>1.1509169807976394</v>
      </c>
    </row>
    <row r="18" spans="1:13" s="62" customFormat="1" ht="18.75" customHeight="1" x14ac:dyDescent="0.3">
      <c r="A18" s="53">
        <v>12</v>
      </c>
      <c r="B18" s="54">
        <f>IF(Input_Data!B18="",NA(),Input_Data!B18)</f>
        <v>37092</v>
      </c>
      <c r="C18" s="55" t="str">
        <f>IF(Input_Data!C18="",NA(),Input_Data!C18)</f>
        <v>Seis 5A</v>
      </c>
      <c r="D18" s="56">
        <f>IF(Input_Data!D18="",NA(),CONVERT(Input_Data!D18,"ft","m"))</f>
        <v>394.71600000000001</v>
      </c>
      <c r="E18" s="57">
        <f>IF(Input_Data!E18="",NA(),CONVERT(Input_Data!E18,"lbm","g")/1000)</f>
        <v>163.29325320000001</v>
      </c>
      <c r="F18" s="58">
        <f>IF(Input_Data!F18="",NA(),CONVERT(Input_Data!F18,"in","m")*1000)</f>
        <v>6.0960000000000001</v>
      </c>
      <c r="G18" s="58">
        <f>IF(Input_Data!K18="",NA(),CONVERT(Input_Data!K18,"psi","Pa"))</f>
        <v>12.615863482345585</v>
      </c>
      <c r="H18" s="59">
        <f t="shared" si="0"/>
        <v>30.888769680660435</v>
      </c>
      <c r="I18" s="60">
        <f t="shared" si="1"/>
        <v>1.4898006104205448</v>
      </c>
      <c r="J18" s="59">
        <f t="shared" si="2"/>
        <v>0.78504495833154408</v>
      </c>
      <c r="K18" s="59">
        <f t="shared" si="3"/>
        <v>72.215205367238468</v>
      </c>
      <c r="L18" s="61">
        <f t="shared" si="4"/>
        <v>1.8586286506419745</v>
      </c>
      <c r="M18" s="61">
        <f t="shared" si="5"/>
        <v>1.1009169807976396</v>
      </c>
    </row>
    <row r="19" spans="1:13" s="62" customFormat="1" ht="18.75" customHeight="1" x14ac:dyDescent="0.3">
      <c r="A19" s="53">
        <v>13</v>
      </c>
      <c r="B19" s="54">
        <f>IF(Input_Data!B19="",NA(),Input_Data!B19)</f>
        <v>37092</v>
      </c>
      <c r="C19" s="55" t="str">
        <f>IF(Input_Data!C19="",NA(),Input_Data!C19)</f>
        <v>Seis 5</v>
      </c>
      <c r="D19" s="56">
        <f>IF(Input_Data!D19="",NA(),CONVERT(Input_Data!D19,"ft","m"))</f>
        <v>515.11199999999997</v>
      </c>
      <c r="E19" s="57">
        <f>IF(Input_Data!E19="",NA(),CONVERT(Input_Data!E19,"lbm","g")/1000)</f>
        <v>163.29325320000001</v>
      </c>
      <c r="F19" s="58">
        <f>IF(Input_Data!F19="",NA(),CONVERT(Input_Data!F19,"in","m")*1000)</f>
        <v>5.08</v>
      </c>
      <c r="G19" s="58">
        <f>IF(Input_Data!K19="",NA(),CONVERT(Input_Data!K19,"psi","Pa"))</f>
        <v>7.9600717211454013</v>
      </c>
      <c r="H19" s="59">
        <f t="shared" si="0"/>
        <v>40.31044074155686</v>
      </c>
      <c r="I19" s="60">
        <f t="shared" si="1"/>
        <v>1.6054175466169478</v>
      </c>
      <c r="J19" s="59">
        <f t="shared" si="2"/>
        <v>0.70586371228391931</v>
      </c>
      <c r="K19" s="59">
        <f t="shared" si="3"/>
        <v>94.242237120179922</v>
      </c>
      <c r="L19" s="61">
        <f t="shared" si="4"/>
        <v>1.9742455868383773</v>
      </c>
      <c r="M19" s="61">
        <f t="shared" si="5"/>
        <v>0.90091698079763882</v>
      </c>
    </row>
    <row r="20" spans="1:13" s="62" customFormat="1" ht="18.75" customHeight="1" x14ac:dyDescent="0.3">
      <c r="A20" s="53">
        <v>14</v>
      </c>
      <c r="B20" s="54">
        <f>IF(Input_Data!B20="",NA(),Input_Data!B20)</f>
        <v>37092</v>
      </c>
      <c r="C20" s="55" t="str">
        <f>IF(Input_Data!C20="",NA(),Input_Data!C20)</f>
        <v>Seis 6</v>
      </c>
      <c r="D20" s="56">
        <f>IF(Input_Data!D20="",NA(),CONVERT(Input_Data!D20,"ft","m"))</f>
        <v>676.04639999999995</v>
      </c>
      <c r="E20" s="57">
        <f>IF(Input_Data!E20="",NA(),CONVERT(Input_Data!E20,"lbm","g")/1000)</f>
        <v>163.29325320000001</v>
      </c>
      <c r="F20" s="58">
        <f>IF(Input_Data!F20="",NA(),CONVERT(Input_Data!F20,"in","m")*1000)</f>
        <v>2.286</v>
      </c>
      <c r="G20" s="58">
        <f>IF(Input_Data!K20="",NA(),CONVERT(Input_Data!K20,"psi","Pa"))</f>
        <v>5.6352992183802844</v>
      </c>
      <c r="H20" s="59">
        <f t="shared" si="0"/>
        <v>52.904471931818406</v>
      </c>
      <c r="I20" s="60">
        <f t="shared" si="1"/>
        <v>1.7234923838164153</v>
      </c>
      <c r="J20" s="59">
        <f t="shared" si="2"/>
        <v>0.35907622605926293</v>
      </c>
      <c r="K20" s="59">
        <f t="shared" si="3"/>
        <v>123.6859656405675</v>
      </c>
      <c r="L20" s="61">
        <f t="shared" si="4"/>
        <v>2.0923204240378448</v>
      </c>
      <c r="M20" s="61">
        <f t="shared" si="5"/>
        <v>0.75091698079763947</v>
      </c>
    </row>
    <row r="21" spans="1:13" s="62" customFormat="1" ht="18.75" customHeight="1" x14ac:dyDescent="0.3">
      <c r="A21" s="53">
        <v>15</v>
      </c>
      <c r="B21" s="54">
        <f>IF(Input_Data!B21="",NA(),Input_Data!B21)</f>
        <v>37092</v>
      </c>
      <c r="C21" s="55" t="str">
        <f>IF(Input_Data!C21="",NA(),Input_Data!C21)</f>
        <v>Seis 15</v>
      </c>
      <c r="D21" s="56">
        <f>IF(Input_Data!D21="",NA(),CONVERT(Input_Data!D21,"ft","m"))</f>
        <v>177.39359999999999</v>
      </c>
      <c r="E21" s="57">
        <f>IF(Input_Data!E21="",NA(),CONVERT(Input_Data!E21,"lbm","g")/1000)</f>
        <v>163.29325320000001</v>
      </c>
      <c r="F21" s="58">
        <f>IF(Input_Data!F21="",NA(),CONVERT(Input_Data!F21,"in","m")*1000)</f>
        <v>24.13</v>
      </c>
      <c r="G21" s="58">
        <f>IF(Input_Data!K21="",NA(),CONVERT(Input_Data!K21,"psi","Pa"))</f>
        <v>79.600717211454111</v>
      </c>
      <c r="H21" s="59">
        <f t="shared" si="0"/>
        <v>13.882057107447391</v>
      </c>
      <c r="I21" s="60">
        <f t="shared" si="1"/>
        <v>1.1424538266531625</v>
      </c>
      <c r="J21" s="59">
        <f t="shared" si="2"/>
        <v>1.3825573219087859</v>
      </c>
      <c r="K21" s="59">
        <f t="shared" si="3"/>
        <v>32.455018937245399</v>
      </c>
      <c r="L21" s="61">
        <f t="shared" si="4"/>
        <v>1.5112818668745922</v>
      </c>
      <c r="M21" s="61">
        <f t="shared" si="5"/>
        <v>1.9009169807976394</v>
      </c>
    </row>
    <row r="22" spans="1:13" s="62" customFormat="1" ht="18.75" customHeight="1" x14ac:dyDescent="0.3">
      <c r="A22" s="53">
        <v>16</v>
      </c>
      <c r="B22" s="54">
        <f>IF(Input_Data!B22="",NA(),Input_Data!B22)</f>
        <v>37092</v>
      </c>
      <c r="C22" s="55" t="str">
        <f>IF(Input_Data!C22="",NA(),Input_Data!C22)</f>
        <v>Seis 16</v>
      </c>
      <c r="D22" s="56">
        <f>IF(Input_Data!D22="",NA(),CONVERT(Input_Data!D22,"ft","m"))</f>
        <v>292.608</v>
      </c>
      <c r="E22" s="57">
        <f>IF(Input_Data!E22="",NA(),CONVERT(Input_Data!E22,"lbm","g")/1000)</f>
        <v>163.29325320000001</v>
      </c>
      <c r="F22" s="58">
        <f>IF(Input_Data!F22="",NA(),CONVERT(Input_Data!F22,"in","m")*1000)</f>
        <v>11.43</v>
      </c>
      <c r="G22" s="58">
        <f>IF(Input_Data!K22="",NA(),CONVERT(Input_Data!K22,"psi","Pa"))</f>
        <v>35.556334301805308</v>
      </c>
      <c r="H22" s="59">
        <f t="shared" si="0"/>
        <v>22.898238527748276</v>
      </c>
      <c r="I22" s="60">
        <f t="shared" si="1"/>
        <v>1.3598020750428426</v>
      </c>
      <c r="J22" s="59">
        <f t="shared" si="2"/>
        <v>1.0580462303952818</v>
      </c>
      <c r="K22" s="59">
        <f t="shared" si="3"/>
        <v>53.534051855250141</v>
      </c>
      <c r="L22" s="61">
        <f t="shared" si="4"/>
        <v>1.7286301152642722</v>
      </c>
      <c r="M22" s="61">
        <f t="shared" si="5"/>
        <v>1.5509169807976393</v>
      </c>
    </row>
    <row r="23" spans="1:13" s="62" customFormat="1" ht="18.75" customHeight="1" x14ac:dyDescent="0.3">
      <c r="A23" s="53">
        <v>17</v>
      </c>
      <c r="B23" s="54">
        <f>IF(Input_Data!B23="",NA(),Input_Data!B23)</f>
        <v>37092</v>
      </c>
      <c r="C23" s="55" t="str">
        <f>IF(Input_Data!C23="",NA(),Input_Data!C23)</f>
        <v>Seis 17</v>
      </c>
      <c r="D23" s="56">
        <f>IF(Input_Data!D23="",NA(),CONVERT(Input_Data!D23,"ft","m"))</f>
        <v>370.02719999999999</v>
      </c>
      <c r="E23" s="57">
        <f>IF(Input_Data!E23="",NA(),CONVERT(Input_Data!E23,"lbm","g")/1000)</f>
        <v>163.29325320000001</v>
      </c>
      <c r="F23" s="58">
        <f>IF(Input_Data!F23="",NA(),CONVERT(Input_Data!F23,"in","m")*1000)</f>
        <v>6.6039999999999992</v>
      </c>
      <c r="G23" s="58">
        <f>IF(Input_Data!K23="",NA(),CONVERT(Input_Data!K23,"psi","Pa"))</f>
        <v>25.171956977116178</v>
      </c>
      <c r="H23" s="59">
        <f t="shared" si="0"/>
        <v>28.956730804881673</v>
      </c>
      <c r="I23" s="60">
        <f t="shared" si="1"/>
        <v>1.4617495287425128</v>
      </c>
      <c r="J23" s="59">
        <f t="shared" si="2"/>
        <v>0.81980706459075592</v>
      </c>
      <c r="K23" s="59">
        <f t="shared" si="3"/>
        <v>67.698269741951734</v>
      </c>
      <c r="L23" s="61">
        <f t="shared" si="4"/>
        <v>1.8305775689639425</v>
      </c>
      <c r="M23" s="61">
        <f t="shared" si="5"/>
        <v>1.4009169807976389</v>
      </c>
    </row>
    <row r="24" spans="1:13" s="62" customFormat="1" ht="18.75" customHeight="1" x14ac:dyDescent="0.3">
      <c r="A24" s="64">
        <v>18</v>
      </c>
      <c r="B24" s="54">
        <f>IF(Input_Data!B24="",NA(),Input_Data!B24)</f>
        <v>37092</v>
      </c>
      <c r="C24" s="55" t="str">
        <f>IF(Input_Data!C24="",NA(),Input_Data!C24)</f>
        <v>Seis 18</v>
      </c>
      <c r="D24" s="56">
        <f>IF(Input_Data!D24="",NA(),CONVERT(Input_Data!D24,"ft","m"))</f>
        <v>434.64479999999998</v>
      </c>
      <c r="E24" s="57">
        <f>IF(Input_Data!E24="",NA(),CONVERT(Input_Data!E24,"lbm","g")/1000)</f>
        <v>163.29325320000001</v>
      </c>
      <c r="F24" s="58">
        <f>IF(Input_Data!F24="",NA(),CONVERT(Input_Data!F24,"in","m")*1000)</f>
        <v>7.1120000000000001</v>
      </c>
      <c r="G24" s="58">
        <f>IF(Input_Data!K24="",NA(),CONVERT(Input_Data!K24,"psi","Pa"))</f>
        <v>15.882431129650927</v>
      </c>
      <c r="H24" s="59">
        <f t="shared" si="0"/>
        <v>34.01342514642608</v>
      </c>
      <c r="I24" s="60">
        <f t="shared" si="1"/>
        <v>1.5316503675191209</v>
      </c>
      <c r="J24" s="59">
        <f t="shared" si="2"/>
        <v>0.85199174796215726</v>
      </c>
      <c r="K24" s="59">
        <f t="shared" si="3"/>
        <v>79.520372859986139</v>
      </c>
      <c r="L24" s="61">
        <f t="shared" si="4"/>
        <v>1.9004784077405505</v>
      </c>
      <c r="M24" s="61">
        <f t="shared" si="5"/>
        <v>1.2009169807976399</v>
      </c>
    </row>
    <row r="25" spans="1:13" s="62" customFormat="1" ht="18.75" customHeight="1" x14ac:dyDescent="0.3">
      <c r="A25" s="53">
        <v>19</v>
      </c>
      <c r="B25" s="54">
        <f>IF(Input_Data!B25="",NA(),Input_Data!B25)</f>
        <v>37092</v>
      </c>
      <c r="C25" s="55" t="str">
        <f>IF(Input_Data!C25="",NA(),Input_Data!C25)</f>
        <v>Seis 19</v>
      </c>
      <c r="D25" s="56">
        <f>IF(Input_Data!D25="",NA(),CONVERT(Input_Data!D25,"ft","m"))</f>
        <v>1046.0735999999999</v>
      </c>
      <c r="E25" s="57">
        <f>IF(Input_Data!E25="",NA(),CONVERT(Input_Data!E25,"lbm","g")/1000)</f>
        <v>163.29325320000001</v>
      </c>
      <c r="F25" s="58">
        <f>IF(Input_Data!F25="",NA(),CONVERT(Input_Data!F25,"in","m")*1000)</f>
        <v>1.524</v>
      </c>
      <c r="G25" s="58">
        <f>IF(Input_Data!K25="",NA(),CONVERT(Input_Data!K25,"psi","Pa"))</f>
        <v>7.9600717211454013</v>
      </c>
      <c r="H25" s="59">
        <f t="shared" si="0"/>
        <v>81.861202736700079</v>
      </c>
      <c r="I25" s="60">
        <f t="shared" si="1"/>
        <v>1.9130781211799419</v>
      </c>
      <c r="J25" s="59">
        <f t="shared" si="2"/>
        <v>0.18298496700358169</v>
      </c>
      <c r="K25" s="59">
        <f t="shared" si="3"/>
        <v>191.38423538251925</v>
      </c>
      <c r="L25" s="61">
        <f t="shared" si="4"/>
        <v>2.2819061614013716</v>
      </c>
      <c r="M25" s="61">
        <f t="shared" si="5"/>
        <v>0.90091698079763882</v>
      </c>
    </row>
    <row r="26" spans="1:13" s="62" customFormat="1" ht="18.75" customHeight="1" x14ac:dyDescent="0.3">
      <c r="A26" s="53">
        <v>20</v>
      </c>
      <c r="B26" s="54">
        <f>IF(Input_Data!B26="",NA(),Input_Data!B26)</f>
        <v>37093</v>
      </c>
      <c r="C26" s="55" t="str">
        <f>IF(Input_Data!C26="",NA(),Input_Data!C26)</f>
        <v>Seis 2</v>
      </c>
      <c r="D26" s="56">
        <f>IF(Input_Data!D26="",NA(),CONVERT(Input_Data!D26,"ft","m"))</f>
        <v>120.7008</v>
      </c>
      <c r="E26" s="57">
        <f>IF(Input_Data!E26="",NA(),CONVERT(Input_Data!E26,"lbm","g")/1000)</f>
        <v>163.97364175500002</v>
      </c>
      <c r="F26" s="58">
        <f>IF(Input_Data!F26="",NA(),CONVERT(Input_Data!F26,"in","m")*1000)</f>
        <v>23.876000000000001</v>
      </c>
      <c r="G26" s="58">
        <f>IF(Input_Data!K26="",NA(),CONVERT(Input_Data!K26,"psi","Pa"))</f>
        <v>63.229097185361127</v>
      </c>
      <c r="H26" s="59">
        <f t="shared" si="0"/>
        <v>9.4259065005080078</v>
      </c>
      <c r="I26" s="60">
        <f t="shared" si="1"/>
        <v>0.97432312749715533</v>
      </c>
      <c r="J26" s="59">
        <f t="shared" si="2"/>
        <v>1.3779615702196368</v>
      </c>
      <c r="K26" s="59">
        <f t="shared" si="3"/>
        <v>22.052210760579502</v>
      </c>
      <c r="L26" s="61">
        <f t="shared" si="4"/>
        <v>1.3434521345291286</v>
      </c>
      <c r="M26" s="61">
        <f t="shared" si="5"/>
        <v>1.8009169807976397</v>
      </c>
    </row>
    <row r="27" spans="1:13" s="62" customFormat="1" ht="18.75" customHeight="1" x14ac:dyDescent="0.3">
      <c r="A27" s="53">
        <v>21</v>
      </c>
      <c r="B27" s="54">
        <f>IF(Input_Data!B27="",NA(),Input_Data!B27)</f>
        <v>37093</v>
      </c>
      <c r="C27" s="55" t="str">
        <f>IF(Input_Data!C27="",NA(),Input_Data!C27)</f>
        <v>Seis 3</v>
      </c>
      <c r="D27" s="56">
        <f>IF(Input_Data!D27="",NA(),CONVERT(Input_Data!D27,"ft","m"))</f>
        <v>241.4016</v>
      </c>
      <c r="E27" s="57">
        <f>IF(Input_Data!E27="",NA(),CONVERT(Input_Data!E27,"lbm","g")/1000)</f>
        <v>163.97364175500002</v>
      </c>
      <c r="F27" s="58">
        <f>IF(Input_Data!F27="",NA(),CONVERT(Input_Data!F27,"in","m")*1000)</f>
        <v>8.3820000000000014</v>
      </c>
      <c r="G27" s="58">
        <f>IF(Input_Data!K27="",NA(),CONVERT(Input_Data!K27,"psi","Pa"))</f>
        <v>35.556334301805308</v>
      </c>
      <c r="H27" s="59">
        <f t="shared" si="0"/>
        <v>18.851813001016016</v>
      </c>
      <c r="I27" s="60">
        <f t="shared" si="1"/>
        <v>1.2753531231611366</v>
      </c>
      <c r="J27" s="59">
        <f t="shared" si="2"/>
        <v>0.92334765649782558</v>
      </c>
      <c r="K27" s="59">
        <f t="shared" si="3"/>
        <v>44.104421521159004</v>
      </c>
      <c r="L27" s="61">
        <f t="shared" si="4"/>
        <v>1.6444821301931098</v>
      </c>
      <c r="M27" s="61">
        <f t="shared" si="5"/>
        <v>1.5509169807976393</v>
      </c>
    </row>
    <row r="28" spans="1:13" s="62" customFormat="1" ht="18.75" customHeight="1" x14ac:dyDescent="0.3">
      <c r="A28" s="53">
        <v>22</v>
      </c>
      <c r="B28" s="54">
        <f>IF(Input_Data!B28="",NA(),Input_Data!B28)</f>
        <v>37093</v>
      </c>
      <c r="C28" s="55" t="str">
        <f>IF(Input_Data!C28="",NA(),Input_Data!C28)</f>
        <v>Seis 4</v>
      </c>
      <c r="D28" s="56">
        <f>IF(Input_Data!D28="",NA(),CONVERT(Input_Data!D28,"ft","m"))</f>
        <v>386.1816</v>
      </c>
      <c r="E28" s="57">
        <f>IF(Input_Data!E28="",NA(),CONVERT(Input_Data!E28,"lbm","g")/1000)</f>
        <v>163.97364175500002</v>
      </c>
      <c r="F28" s="58">
        <f>IF(Input_Data!F28="",NA(),CONVERT(Input_Data!F28,"in","m")*1000)</f>
        <v>12.446</v>
      </c>
      <c r="G28" s="58">
        <f>IF(Input_Data!K28="",NA(),CONVERT(Input_Data!K28,"psi","Pa"))</f>
        <v>31.689616303081074</v>
      </c>
      <c r="H28" s="59">
        <f t="shared" si="0"/>
        <v>30.158140242786981</v>
      </c>
      <c r="I28" s="60">
        <f t="shared" si="1"/>
        <v>1.4794045564550842</v>
      </c>
      <c r="J28" s="59">
        <f t="shared" si="2"/>
        <v>1.0950297966484517</v>
      </c>
      <c r="K28" s="59">
        <f t="shared" si="3"/>
        <v>70.555936953672301</v>
      </c>
      <c r="L28" s="61">
        <f t="shared" si="4"/>
        <v>1.8485335634870577</v>
      </c>
      <c r="M28" s="61">
        <f t="shared" si="5"/>
        <v>1.5009169807976395</v>
      </c>
    </row>
    <row r="29" spans="1:13" s="62" customFormat="1" ht="18.75" customHeight="1" x14ac:dyDescent="0.3">
      <c r="A29" s="53">
        <v>23</v>
      </c>
      <c r="B29" s="54">
        <f>IF(Input_Data!B29="",NA(),Input_Data!B29)</f>
        <v>37093</v>
      </c>
      <c r="C29" s="55" t="str">
        <f>IF(Input_Data!C29="",NA(),Input_Data!C29)</f>
        <v>Seis 5 A</v>
      </c>
      <c r="D29" s="56">
        <f>IF(Input_Data!D29="",NA(),CONVERT(Input_Data!D29,"ft","m"))</f>
        <v>486.15600000000001</v>
      </c>
      <c r="E29" s="57">
        <f>IF(Input_Data!E29="",NA(),CONVERT(Input_Data!E29,"lbm","g")/1000)</f>
        <v>163.97364175500002</v>
      </c>
      <c r="F29" s="58">
        <f>IF(Input_Data!F29="",NA(),CONVERT(Input_Data!F29,"in","m")*1000)</f>
        <v>4.5720000000000001</v>
      </c>
      <c r="G29" s="58">
        <f>IF(Input_Data!K29="",NA(),CONVERT(Input_Data!K29,"psi","Pa"))</f>
        <v>28.243400259219452</v>
      </c>
      <c r="H29" s="59">
        <f t="shared" si="0"/>
        <v>37.965456738157251</v>
      </c>
      <c r="I29" s="60">
        <f t="shared" si="1"/>
        <v>1.5793886289648429</v>
      </c>
      <c r="J29" s="59">
        <f t="shared" si="2"/>
        <v>0.66010622172324418</v>
      </c>
      <c r="K29" s="59">
        <f t="shared" si="3"/>
        <v>88.821404452334107</v>
      </c>
      <c r="L29" s="61">
        <f t="shared" si="4"/>
        <v>1.9485176359968162</v>
      </c>
      <c r="M29" s="61">
        <f t="shared" si="5"/>
        <v>1.4509169807976396</v>
      </c>
    </row>
    <row r="30" spans="1:13" s="62" customFormat="1" ht="18.75" customHeight="1" x14ac:dyDescent="0.3">
      <c r="A30" s="53">
        <v>24</v>
      </c>
      <c r="B30" s="54">
        <f>IF(Input_Data!B30="",NA(),Input_Data!B30)</f>
        <v>37093</v>
      </c>
      <c r="C30" s="55" t="str">
        <f>IF(Input_Data!C30="",NA(),Input_Data!C30)</f>
        <v>Seis 5</v>
      </c>
      <c r="D30" s="56">
        <f>IF(Input_Data!D30="",NA(),CONVERT(Input_Data!D30,"ft","m"))</f>
        <v>579.12</v>
      </c>
      <c r="E30" s="57">
        <f>IF(Input_Data!E30="",NA(),CONVERT(Input_Data!E30,"lbm","g")/1000)</f>
        <v>163.97364175500002</v>
      </c>
      <c r="F30" s="58">
        <f>IF(Input_Data!F30="",NA(),CONVERT(Input_Data!F30,"in","m")*1000)</f>
        <v>3.81</v>
      </c>
      <c r="G30" s="58">
        <f>IF(Input_Data!K30="",NA(),CONVERT(Input_Data!K30,"psi","Pa"))</f>
        <v>19.994796150188247</v>
      </c>
      <c r="H30" s="59">
        <f t="shared" si="0"/>
        <v>45.225308967083876</v>
      </c>
      <c r="I30" s="60">
        <f t="shared" si="1"/>
        <v>1.655381542524472</v>
      </c>
      <c r="J30" s="59">
        <f t="shared" si="2"/>
        <v>0.58092497567561929</v>
      </c>
      <c r="K30" s="59">
        <f t="shared" si="3"/>
        <v>105.80606173005317</v>
      </c>
      <c r="L30" s="61">
        <f t="shared" si="4"/>
        <v>2.0245105495564455</v>
      </c>
      <c r="M30" s="61">
        <f t="shared" si="5"/>
        <v>1.3009169807976388</v>
      </c>
    </row>
    <row r="31" spans="1:13" s="62" customFormat="1" ht="18.75" customHeight="1" x14ac:dyDescent="0.3">
      <c r="A31" s="53">
        <v>25</v>
      </c>
      <c r="B31" s="54">
        <f>IF(Input_Data!B31="",NA(),Input_Data!B31)</f>
        <v>37093</v>
      </c>
      <c r="C31" s="55" t="str">
        <f>IF(Input_Data!C31="",NA(),Input_Data!C31)</f>
        <v>Seis 15</v>
      </c>
      <c r="D31" s="56">
        <f>IF(Input_Data!D31="",NA(),CONVERT(Input_Data!D31,"ft","m"))</f>
        <v>193.2432</v>
      </c>
      <c r="E31" s="57">
        <f>IF(Input_Data!E31="",NA(),CONVERT(Input_Data!E31,"lbm","g")/1000)</f>
        <v>163.97364175500002</v>
      </c>
      <c r="F31" s="58">
        <f>IF(Input_Data!F31="",NA(),CONVERT(Input_Data!F31,"in","m")*1000)</f>
        <v>25.908000000000001</v>
      </c>
      <c r="G31" s="58">
        <f>IF(Input_Data!K31="",NA(),CONVERT(Input_Data!K31,"psi","Pa"))</f>
        <v>25.171956977116178</v>
      </c>
      <c r="H31" s="59">
        <f t="shared" si="0"/>
        <v>15.090971518490091</v>
      </c>
      <c r="I31" s="60">
        <f t="shared" si="1"/>
        <v>1.1787171994533756</v>
      </c>
      <c r="J31" s="59">
        <f t="shared" si="2"/>
        <v>1.4134338883818556</v>
      </c>
      <c r="K31" s="59">
        <f t="shared" si="3"/>
        <v>35.305812177291429</v>
      </c>
      <c r="L31" s="61">
        <f t="shared" si="4"/>
        <v>1.5478462064853491</v>
      </c>
      <c r="M31" s="61">
        <f t="shared" si="5"/>
        <v>1.4009169807976389</v>
      </c>
    </row>
    <row r="32" spans="1:13" s="62" customFormat="1" ht="18.75" customHeight="1" x14ac:dyDescent="0.3">
      <c r="A32" s="53">
        <v>26</v>
      </c>
      <c r="B32" s="54">
        <f>IF(Input_Data!B32="",NA(),Input_Data!B32)</f>
        <v>37093</v>
      </c>
      <c r="C32" s="55" t="str">
        <f>IF(Input_Data!C32="",NA(),Input_Data!C32)</f>
        <v>Seis 16</v>
      </c>
      <c r="D32" s="56">
        <f>IF(Input_Data!D32="",NA(),CONVERT(Input_Data!D32,"ft","m"))</f>
        <v>257.25119999999998</v>
      </c>
      <c r="E32" s="57">
        <f>IF(Input_Data!E32="",NA(),CONVERT(Input_Data!E32,"lbm","g")/1000)</f>
        <v>163.97364175500002</v>
      </c>
      <c r="F32" s="58">
        <f>IF(Input_Data!F32="",NA(),CONVERT(Input_Data!F32,"in","m")*1000)</f>
        <v>12.954000000000001</v>
      </c>
      <c r="G32" s="58">
        <f>IF(Input_Data!K32="",NA(),CONVERT(Input_Data!K32,"psi","Pa"))</f>
        <v>25.171956977116178</v>
      </c>
      <c r="H32" s="59">
        <f t="shared" si="0"/>
        <v>20.089558299062517</v>
      </c>
      <c r="I32" s="60">
        <f t="shared" si="1"/>
        <v>1.302970388197298</v>
      </c>
      <c r="J32" s="59">
        <f t="shared" si="2"/>
        <v>1.1124038927178745</v>
      </c>
      <c r="K32" s="59">
        <f t="shared" si="3"/>
        <v>47.000166368507827</v>
      </c>
      <c r="L32" s="61">
        <f t="shared" si="4"/>
        <v>1.6720993952292713</v>
      </c>
      <c r="M32" s="61">
        <f t="shared" si="5"/>
        <v>1.4009169807976389</v>
      </c>
    </row>
    <row r="33" spans="1:13" s="62" customFormat="1" ht="18.75" customHeight="1" x14ac:dyDescent="0.3">
      <c r="A33" s="53">
        <v>27</v>
      </c>
      <c r="B33" s="54">
        <f>IF(Input_Data!B33="",NA(),Input_Data!B33)</f>
        <v>37093</v>
      </c>
      <c r="C33" s="55" t="str">
        <f>IF(Input_Data!C33="",NA(),Input_Data!C33)</f>
        <v>Seis 2*</v>
      </c>
      <c r="D33" s="56">
        <f>IF(Input_Data!D33="",NA(),CONVERT(Input_Data!D33,"ft","m"))</f>
        <v>160.93440000000001</v>
      </c>
      <c r="E33" s="57">
        <f>IF(Input_Data!E33="",NA(),CONVERT(Input_Data!E33,"lbm","g")/1000)</f>
        <v>163.97364175500002</v>
      </c>
      <c r="F33" s="58">
        <f>IF(Input_Data!F33="",NA(),CONVERT(Input_Data!F33,"in","m")*1000)</f>
        <v>19.304000000000002</v>
      </c>
      <c r="G33" s="58">
        <f>IF(Input_Data!K33="",NA(),CONVERT(Input_Data!K33,"psi","Pa"))</f>
        <v>35.556334301805308</v>
      </c>
      <c r="H33" s="59">
        <f t="shared" si="0"/>
        <v>12.567875334010678</v>
      </c>
      <c r="I33" s="60">
        <f t="shared" si="1"/>
        <v>1.0992618641054552</v>
      </c>
      <c r="J33" s="59">
        <f t="shared" si="2"/>
        <v>1.2856473089007294</v>
      </c>
      <c r="K33" s="59">
        <f t="shared" si="3"/>
        <v>29.402947680772673</v>
      </c>
      <c r="L33" s="61">
        <f t="shared" si="4"/>
        <v>1.4683908711374287</v>
      </c>
      <c r="M33" s="61">
        <f t="shared" si="5"/>
        <v>1.5509169807976393</v>
      </c>
    </row>
    <row r="34" spans="1:13" s="62" customFormat="1" ht="18.75" customHeight="1" x14ac:dyDescent="0.3">
      <c r="A34" s="53">
        <v>28</v>
      </c>
      <c r="B34" s="54">
        <f>IF(Input_Data!B34="",NA(),Input_Data!B34)</f>
        <v>37093</v>
      </c>
      <c r="C34" s="55" t="str">
        <f>IF(Input_Data!C34="",NA(),Input_Data!C34)</f>
        <v>Seis 3*</v>
      </c>
      <c r="D34" s="56">
        <f>IF(Input_Data!D34="",NA(),CONVERT(Input_Data!D34,"ft","m"))</f>
        <v>239.5728</v>
      </c>
      <c r="E34" s="57">
        <f>IF(Input_Data!E34="",NA(),CONVERT(Input_Data!E34,"lbm","g")/1000)</f>
        <v>163.97364175500002</v>
      </c>
      <c r="F34" s="58">
        <f>IF(Input_Data!F34="",NA(),CONVERT(Input_Data!F34,"in","m")*1000)</f>
        <v>9.1440000000000001</v>
      </c>
      <c r="G34" s="58">
        <f>IF(Input_Data!K34="",NA(),CONVERT(Input_Data!K34,"psi","Pa"))</f>
        <v>25.171956977116178</v>
      </c>
      <c r="H34" s="59">
        <f t="shared" si="0"/>
        <v>18.708996235856802</v>
      </c>
      <c r="I34" s="60">
        <f t="shared" si="1"/>
        <v>1.2720504876110508</v>
      </c>
      <c r="J34" s="59">
        <f t="shared" si="2"/>
        <v>0.96113621738722532</v>
      </c>
      <c r="K34" s="59">
        <f t="shared" si="3"/>
        <v>43.770297115695676</v>
      </c>
      <c r="L34" s="61">
        <f t="shared" si="4"/>
        <v>1.6411794946430243</v>
      </c>
      <c r="M34" s="61">
        <f t="shared" si="5"/>
        <v>1.4009169807976389</v>
      </c>
    </row>
    <row r="35" spans="1:13" s="62" customFormat="1" ht="18.75" customHeight="1" x14ac:dyDescent="0.3">
      <c r="A35" s="53">
        <v>29</v>
      </c>
      <c r="B35" s="54">
        <f>IF(Input_Data!B35="",NA(),Input_Data!B35)</f>
        <v>37093</v>
      </c>
      <c r="C35" s="55" t="str">
        <f>IF(Input_Data!C35="",NA(),Input_Data!C35)</f>
        <v>Seis 4*</v>
      </c>
      <c r="D35" s="56">
        <f>IF(Input_Data!D35="",NA(),CONVERT(Input_Data!D35,"ft","m"))</f>
        <v>418.18560000000002</v>
      </c>
      <c r="E35" s="57">
        <f>IF(Input_Data!E35="",NA(),CONVERT(Input_Data!E35,"lbm","g")/1000)</f>
        <v>163.97364175500002</v>
      </c>
      <c r="F35" s="58">
        <f>IF(Input_Data!F35="",NA(),CONVERT(Input_Data!F35,"in","m")*1000)</f>
        <v>12.446</v>
      </c>
      <c r="G35" s="58">
        <f>IF(Input_Data!K35="",NA(),CONVERT(Input_Data!K35,"psi","Pa"))</f>
        <v>19.994796150188247</v>
      </c>
      <c r="H35" s="59">
        <f t="shared" si="0"/>
        <v>32.657433633073197</v>
      </c>
      <c r="I35" s="60">
        <f t="shared" si="1"/>
        <v>1.5139820529423758</v>
      </c>
      <c r="J35" s="59">
        <f t="shared" si="2"/>
        <v>1.0950297966484517</v>
      </c>
      <c r="K35" s="59">
        <f t="shared" si="3"/>
        <v>76.403114049280504</v>
      </c>
      <c r="L35" s="61">
        <f t="shared" si="4"/>
        <v>1.8831110599743492</v>
      </c>
      <c r="M35" s="61">
        <f t="shared" si="5"/>
        <v>1.3009169807976388</v>
      </c>
    </row>
    <row r="36" spans="1:13" s="62" customFormat="1" ht="18.75" customHeight="1" x14ac:dyDescent="0.3">
      <c r="A36" s="53">
        <v>30</v>
      </c>
      <c r="B36" s="54">
        <f>IF(Input_Data!B36="",NA(),Input_Data!B36)</f>
        <v>37093</v>
      </c>
      <c r="C36" s="55" t="str">
        <f>IF(Input_Data!C36="",NA(),Input_Data!C36)</f>
        <v>Seis 5 A*</v>
      </c>
      <c r="D36" s="56">
        <f>IF(Input_Data!D36="",NA(),CONVERT(Input_Data!D36,"ft","m"))</f>
        <v>579.12</v>
      </c>
      <c r="E36" s="57">
        <f>IF(Input_Data!E36="",NA(),CONVERT(Input_Data!E36,"lbm","g")/1000)</f>
        <v>163.97364175500002</v>
      </c>
      <c r="F36" s="58">
        <f>IF(Input_Data!F36="",NA(),CONVERT(Input_Data!F36,"in","m")*1000)</f>
        <v>5.5880000000000001</v>
      </c>
      <c r="G36" s="58">
        <f>IF(Input_Data!K36="",NA(),CONVERT(Input_Data!K36,"psi","Pa"))</f>
        <v>22.434530270517083</v>
      </c>
      <c r="H36" s="59">
        <f t="shared" si="0"/>
        <v>45.225308967083876</v>
      </c>
      <c r="I36" s="60">
        <f t="shared" si="1"/>
        <v>1.655381542524472</v>
      </c>
      <c r="J36" s="59">
        <f t="shared" si="2"/>
        <v>0.74725639744214434</v>
      </c>
      <c r="K36" s="59">
        <f t="shared" si="3"/>
        <v>105.80606173005317</v>
      </c>
      <c r="L36" s="61">
        <f t="shared" si="4"/>
        <v>2.0245105495564455</v>
      </c>
      <c r="M36" s="61">
        <f t="shared" si="5"/>
        <v>1.3509169807976391</v>
      </c>
    </row>
    <row r="37" spans="1:13" s="62" customFormat="1" ht="18.75" customHeight="1" x14ac:dyDescent="0.3">
      <c r="A37" s="53">
        <v>31</v>
      </c>
      <c r="B37" s="54">
        <f>IF(Input_Data!B37="",NA(),Input_Data!B37)</f>
        <v>37093</v>
      </c>
      <c r="C37" s="55" t="str">
        <f>IF(Input_Data!C37="",NA(),Input_Data!C37)</f>
        <v>Seis 5*</v>
      </c>
      <c r="D37" s="56">
        <f>IF(Input_Data!D37="",NA(),CONVERT(Input_Data!D37,"ft","m"))</f>
        <v>563.2704</v>
      </c>
      <c r="E37" s="57">
        <f>IF(Input_Data!E37="",NA(),CONVERT(Input_Data!E37,"lbm","g")/1000)</f>
        <v>163.97364175500002</v>
      </c>
      <c r="F37" s="58">
        <f>IF(Input_Data!F37="",NA(),CONVERT(Input_Data!F37,"in","m")*1000)</f>
        <v>6.35</v>
      </c>
      <c r="G37" s="58">
        <f>IF(Input_Data!K37="",NA(),CONVERT(Input_Data!K37,"psi","Pa"))</f>
        <v>10.021136569454107</v>
      </c>
      <c r="H37" s="59">
        <f t="shared" si="0"/>
        <v>43.987563669037364</v>
      </c>
      <c r="I37" s="60">
        <f t="shared" si="1"/>
        <v>1.6433299084557309</v>
      </c>
      <c r="J37" s="59">
        <f t="shared" si="2"/>
        <v>0.80277372529197566</v>
      </c>
      <c r="K37" s="59">
        <f t="shared" si="3"/>
        <v>102.91031688270435</v>
      </c>
      <c r="L37" s="61">
        <f t="shared" si="4"/>
        <v>2.0124589154877044</v>
      </c>
      <c r="M37" s="61">
        <f t="shared" si="5"/>
        <v>1.0009169807976399</v>
      </c>
    </row>
    <row r="38" spans="1:13" s="62" customFormat="1" ht="18.75" customHeight="1" x14ac:dyDescent="0.3">
      <c r="A38" s="53">
        <v>32</v>
      </c>
      <c r="B38" s="54">
        <f>IF(Input_Data!B38="",NA(),Input_Data!B38)</f>
        <v>37093</v>
      </c>
      <c r="C38" s="55" t="str">
        <f>IF(Input_Data!C38="",NA(),Input_Data!C38)</f>
        <v>Seis 15*</v>
      </c>
      <c r="D38" s="56">
        <f>IF(Input_Data!D38="",NA(),CONVERT(Input_Data!D38,"ft","m"))</f>
        <v>80.467200000000005</v>
      </c>
      <c r="E38" s="57">
        <f>IF(Input_Data!E38="",NA(),CONVERT(Input_Data!E38,"lbm","g")/1000)</f>
        <v>163.97364175500002</v>
      </c>
      <c r="F38" s="58">
        <f>IF(Input_Data!F38="",NA(),CONVERT(Input_Data!F38,"in","m")*1000)</f>
        <v>101.6</v>
      </c>
      <c r="G38" s="58">
        <f>IF(Input_Data!K38="",NA(),CONVERT(Input_Data!K38,"psi","Pa"))</f>
        <v>50.224657150457986</v>
      </c>
      <c r="H38" s="59">
        <f t="shared" si="0"/>
        <v>6.2839376670053388</v>
      </c>
      <c r="I38" s="60">
        <f t="shared" si="1"/>
        <v>0.79823186844147409</v>
      </c>
      <c r="J38" s="59">
        <f t="shared" si="2"/>
        <v>2.0068937079479006</v>
      </c>
      <c r="K38" s="59">
        <f t="shared" si="3"/>
        <v>14.701473840386337</v>
      </c>
      <c r="L38" s="61">
        <f t="shared" si="4"/>
        <v>1.1673608754734475</v>
      </c>
      <c r="M38" s="61">
        <f t="shared" si="5"/>
        <v>1.7009169807976401</v>
      </c>
    </row>
    <row r="39" spans="1:13" s="62" customFormat="1" ht="18.75" customHeight="1" x14ac:dyDescent="0.3">
      <c r="A39" s="53">
        <v>33</v>
      </c>
      <c r="B39" s="54">
        <f>IF(Input_Data!B39="",NA(),Input_Data!B39)</f>
        <v>37093</v>
      </c>
      <c r="C39" s="55" t="str">
        <f>IF(Input_Data!C39="",NA(),Input_Data!C39)</f>
        <v>Seis 16*</v>
      </c>
      <c r="D39" s="56">
        <f>IF(Input_Data!D39="",NA(),CONVERT(Input_Data!D39,"ft","m"))</f>
        <v>160.93440000000001</v>
      </c>
      <c r="E39" s="57">
        <f>IF(Input_Data!E39="",NA(),CONVERT(Input_Data!E39,"lbm","g")/1000)</f>
        <v>163.97364175500002</v>
      </c>
      <c r="F39" s="58">
        <f>IF(Input_Data!F39="",NA(),CONVERT(Input_Data!F39,"in","m")*1000)</f>
        <v>14.224</v>
      </c>
      <c r="G39" s="58">
        <f>IF(Input_Data!K39="",NA(),CONVERT(Input_Data!K39,"psi","Pa"))</f>
        <v>25.171956977116178</v>
      </c>
      <c r="H39" s="59">
        <f t="shared" si="0"/>
        <v>12.567875334010678</v>
      </c>
      <c r="I39" s="60">
        <f t="shared" si="1"/>
        <v>1.0992618641054552</v>
      </c>
      <c r="J39" s="59">
        <f t="shared" si="2"/>
        <v>1.1530217436261385</v>
      </c>
      <c r="K39" s="59">
        <f t="shared" si="3"/>
        <v>29.402947680772673</v>
      </c>
      <c r="L39" s="61">
        <f t="shared" si="4"/>
        <v>1.4683908711374287</v>
      </c>
      <c r="M39" s="61">
        <f t="shared" si="5"/>
        <v>1.4009169807976389</v>
      </c>
    </row>
    <row r="40" spans="1:13" s="62" customFormat="1" ht="18.75" customHeight="1" x14ac:dyDescent="0.3">
      <c r="A40" s="53">
        <v>34</v>
      </c>
      <c r="B40" s="54">
        <f>IF(Input_Data!B40="",NA(),Input_Data!B40)</f>
        <v>37093</v>
      </c>
      <c r="C40" s="55" t="str">
        <f>IF(Input_Data!C40="",NA(),Input_Data!C40)</f>
        <v>Seis 17*</v>
      </c>
      <c r="D40" s="56">
        <f>IF(Input_Data!D40="",NA(),CONVERT(Input_Data!D40,"ft","m"))</f>
        <v>267.61439999999999</v>
      </c>
      <c r="E40" s="57">
        <f>IF(Input_Data!E40="",NA(),CONVERT(Input_Data!E40,"lbm","g")/1000)</f>
        <v>163.97364175500002</v>
      </c>
      <c r="F40" s="58">
        <f>IF(Input_Data!F40="",NA(),CONVERT(Input_Data!F40,"in","m")*1000)</f>
        <v>11.683999999999999</v>
      </c>
      <c r="G40" s="58">
        <f>IF(Input_Data!K40="",NA(),CONVERT(Input_Data!K40,"psi","Pa"))</f>
        <v>14.155231644145974</v>
      </c>
      <c r="H40" s="59">
        <f t="shared" si="0"/>
        <v>20.898853301631387</v>
      </c>
      <c r="I40" s="60">
        <f t="shared" si="1"/>
        <v>1.3201224574777455</v>
      </c>
      <c r="J40" s="59">
        <f t="shared" si="2"/>
        <v>1.0675915483015121</v>
      </c>
      <c r="K40" s="59">
        <f t="shared" si="3"/>
        <v>48.893537999466673</v>
      </c>
      <c r="L40" s="61">
        <f t="shared" si="4"/>
        <v>1.689251464509719</v>
      </c>
      <c r="M40" s="61">
        <f t="shared" si="5"/>
        <v>1.1509169807976394</v>
      </c>
    </row>
    <row r="41" spans="1:13" s="62" customFormat="1" ht="18.75" customHeight="1" x14ac:dyDescent="0.3">
      <c r="A41" s="53">
        <v>35</v>
      </c>
      <c r="B41" s="54">
        <f>IF(Input_Data!B41="",NA(),Input_Data!B41)</f>
        <v>37093</v>
      </c>
      <c r="C41" s="55" t="str">
        <f>IF(Input_Data!C41="",NA(),Input_Data!C41)</f>
        <v>Seis 18*</v>
      </c>
      <c r="D41" s="56">
        <f>IF(Input_Data!D41="",NA(),CONVERT(Input_Data!D41,"ft","m"))</f>
        <v>428.85359999999997</v>
      </c>
      <c r="E41" s="57">
        <f>IF(Input_Data!E41="",NA(),CONVERT(Input_Data!E41,"lbm","g")/1000)</f>
        <v>163.97364175500002</v>
      </c>
      <c r="F41" s="58">
        <f>IF(Input_Data!F41="",NA(),CONVERT(Input_Data!F41,"in","m")*1000)</f>
        <v>5.5880000000000001</v>
      </c>
      <c r="G41" s="58">
        <f>IF(Input_Data!K41="",NA(),CONVERT(Input_Data!K41,"psi","Pa"))</f>
        <v>14.155231644145974</v>
      </c>
      <c r="H41" s="59">
        <f t="shared" si="0"/>
        <v>33.490531429835265</v>
      </c>
      <c r="I41" s="60">
        <f t="shared" si="1"/>
        <v>1.5249220390063887</v>
      </c>
      <c r="J41" s="59">
        <f t="shared" si="2"/>
        <v>0.74725639744214434</v>
      </c>
      <c r="K41" s="59">
        <f t="shared" si="3"/>
        <v>78.3521730811499</v>
      </c>
      <c r="L41" s="61">
        <f t="shared" si="4"/>
        <v>1.8940510460383619</v>
      </c>
      <c r="M41" s="61">
        <f t="shared" si="5"/>
        <v>1.1509169807976394</v>
      </c>
    </row>
    <row r="42" spans="1:13" s="62" customFormat="1" ht="18.75" customHeight="1" x14ac:dyDescent="0.3">
      <c r="A42" s="53">
        <v>36</v>
      </c>
      <c r="B42" s="54">
        <f>IF(Input_Data!B42="",NA(),Input_Data!B42)</f>
        <v>37093</v>
      </c>
      <c r="C42" s="55" t="str">
        <f>IF(Input_Data!C42="",NA(),Input_Data!C42)</f>
        <v>Seis 19*</v>
      </c>
      <c r="D42" s="56">
        <f>IF(Input_Data!D42="",NA(),CONVERT(Input_Data!D42,"ft","m"))</f>
        <v>952.5</v>
      </c>
      <c r="E42" s="57">
        <f>IF(Input_Data!E42="",NA(),CONVERT(Input_Data!E42,"lbm","g")/1000)</f>
        <v>163.97364175500002</v>
      </c>
      <c r="F42" s="58">
        <f>IF(Input_Data!F42="",NA(),CONVERT(Input_Data!F42,"in","m")*1000)</f>
        <v>2.54</v>
      </c>
      <c r="G42" s="58">
        <f>IF(Input_Data!K42="",NA(),CONVERT(Input_Data!K42,"psi","Pa"))</f>
        <v>5.6352992183802844</v>
      </c>
      <c r="H42" s="59">
        <f t="shared" si="0"/>
        <v>74.383731853756373</v>
      </c>
      <c r="I42" s="60">
        <f t="shared" si="1"/>
        <v>1.8714779632517371</v>
      </c>
      <c r="J42" s="59">
        <f t="shared" si="2"/>
        <v>0.40483371661993806</v>
      </c>
      <c r="K42" s="59">
        <f t="shared" si="3"/>
        <v>174.02312784548218</v>
      </c>
      <c r="L42" s="61">
        <f t="shared" si="4"/>
        <v>2.2406069702837104</v>
      </c>
      <c r="M42" s="61">
        <f t="shared" si="5"/>
        <v>0.75091698079763947</v>
      </c>
    </row>
    <row r="43" spans="1:13" s="62" customFormat="1" ht="18.75" customHeight="1" x14ac:dyDescent="0.3">
      <c r="A43" s="53">
        <v>37</v>
      </c>
      <c r="B43" s="54">
        <f>IF(Input_Data!B43="",NA(),Input_Data!B43)</f>
        <v>36734</v>
      </c>
      <c r="C43" s="55" t="str">
        <f>IF(Input_Data!C43="",NA(),Input_Data!C43)</f>
        <v>Seis 1</v>
      </c>
      <c r="D43" s="56">
        <f>IF(Input_Data!D43="",NA(),CONVERT(Input_Data!D43,"ft","m"))</f>
        <v>27.431999999999999</v>
      </c>
      <c r="E43" s="57">
        <f>IF(Input_Data!E43="",NA(),CONVERT(Input_Data!E43,"lbm","g")/1000)</f>
        <v>170.32393493500001</v>
      </c>
      <c r="F43" s="58">
        <f>IF(Input_Data!F43="",NA(),CONVERT(Input_Data!F43,"in","m")*1000)</f>
        <v>52.831999999999994</v>
      </c>
      <c r="G43" s="58">
        <f>IF(Input_Data!K43="",NA(),CONVERT(Input_Data!K43,"psi","Pa"))</f>
        <v>178.20380826648301</v>
      </c>
      <c r="H43" s="59">
        <f t="shared" si="0"/>
        <v>2.1019366907158341</v>
      </c>
      <c r="I43" s="60">
        <f t="shared" si="1"/>
        <v>0.32261963115614906</v>
      </c>
      <c r="J43" s="59">
        <f t="shared" si="2"/>
        <v>1.7228970515826996</v>
      </c>
      <c r="K43" s="59">
        <f t="shared" si="3"/>
        <v>4.9487887054151258</v>
      </c>
      <c r="L43" s="61">
        <f t="shared" si="4"/>
        <v>0.69449891147306198</v>
      </c>
      <c r="M43" s="61">
        <f t="shared" si="5"/>
        <v>2.2509169807976392</v>
      </c>
    </row>
    <row r="44" spans="1:13" s="62" customFormat="1" ht="18.75" customHeight="1" x14ac:dyDescent="0.3">
      <c r="A44" s="53">
        <v>38</v>
      </c>
      <c r="B44" s="54">
        <f>IF(Input_Data!B44="",NA(),Input_Data!B44)</f>
        <v>36734</v>
      </c>
      <c r="C44" s="55" t="str">
        <f>IF(Input_Data!C44="",NA(),Input_Data!C44)</f>
        <v>Seis 2</v>
      </c>
      <c r="D44" s="56">
        <f>IF(Input_Data!D44="",NA(),CONVERT(Input_Data!D44,"ft","m"))</f>
        <v>91.44</v>
      </c>
      <c r="E44" s="57">
        <f>IF(Input_Data!E44="",NA(),CONVERT(Input_Data!E44,"lbm","g")/1000)</f>
        <v>170.32393493500001</v>
      </c>
      <c r="F44" s="58">
        <f>IF(Input_Data!F44="",NA(),CONVERT(Input_Data!F44,"in","m")*1000)</f>
        <v>41.655999999999999</v>
      </c>
      <c r="G44" s="58">
        <f>IF(Input_Data!K44="",NA(),CONVERT(Input_Data!K44,"psi","Pa"))</f>
        <v>63.229097185361127</v>
      </c>
      <c r="H44" s="59">
        <f t="shared" si="0"/>
        <v>7.0064556357194467</v>
      </c>
      <c r="I44" s="60">
        <f t="shared" si="1"/>
        <v>0.84549837643648662</v>
      </c>
      <c r="J44" s="59">
        <f t="shared" si="2"/>
        <v>1.619677564667636</v>
      </c>
      <c r="K44" s="59">
        <f t="shared" si="3"/>
        <v>16.495962351383753</v>
      </c>
      <c r="L44" s="61">
        <f t="shared" si="4"/>
        <v>1.2173776567533996</v>
      </c>
      <c r="M44" s="61">
        <f t="shared" si="5"/>
        <v>1.8009169807976397</v>
      </c>
    </row>
    <row r="45" spans="1:13" s="62" customFormat="1" ht="18.75" customHeight="1" x14ac:dyDescent="0.3">
      <c r="A45" s="53">
        <v>39</v>
      </c>
      <c r="B45" s="54">
        <f>IF(Input_Data!B45="",NA(),Input_Data!B45)</f>
        <v>36734</v>
      </c>
      <c r="C45" s="55" t="str">
        <f>IF(Input_Data!C45="",NA(),Input_Data!C45)</f>
        <v>Seis 3</v>
      </c>
      <c r="D45" s="56">
        <f>IF(Input_Data!D45="",NA(),CONVERT(Input_Data!D45,"ft","m"))</f>
        <v>213.36</v>
      </c>
      <c r="E45" s="57">
        <f>IF(Input_Data!E45="",NA(),CONVERT(Input_Data!E45,"lbm","g")/1000)</f>
        <v>170.32393493500001</v>
      </c>
      <c r="F45" s="58">
        <f>IF(Input_Data!F45="",NA(),CONVERT(Input_Data!F45,"in","m")*1000)</f>
        <v>10.414</v>
      </c>
      <c r="G45" s="58">
        <f>IF(Input_Data!K45="",NA(),CONVERT(Input_Data!K45,"psi","Pa"))</f>
        <v>28.243400259219452</v>
      </c>
      <c r="H45" s="59">
        <f t="shared" si="0"/>
        <v>16.348396483345379</v>
      </c>
      <c r="I45" s="60">
        <f t="shared" si="1"/>
        <v>1.2134751617310811</v>
      </c>
      <c r="J45" s="59">
        <f t="shared" si="2"/>
        <v>1.0176175733396735</v>
      </c>
      <c r="K45" s="59">
        <f t="shared" si="3"/>
        <v>38.490578819895426</v>
      </c>
      <c r="L45" s="61">
        <f t="shared" si="4"/>
        <v>1.5853544420479939</v>
      </c>
      <c r="M45" s="61">
        <f t="shared" si="5"/>
        <v>1.4509169807976396</v>
      </c>
    </row>
    <row r="46" spans="1:13" s="62" customFormat="1" ht="18.75" customHeight="1" x14ac:dyDescent="0.3">
      <c r="A46" s="53">
        <v>40</v>
      </c>
      <c r="B46" s="54">
        <f>IF(Input_Data!B46="",NA(),Input_Data!B46)</f>
        <v>36734</v>
      </c>
      <c r="C46" s="55" t="str">
        <f>IF(Input_Data!C46="",NA(),Input_Data!C46)</f>
        <v>Seis 4</v>
      </c>
      <c r="D46" s="56">
        <f>IF(Input_Data!D46="",NA(),CONVERT(Input_Data!D46,"ft","m"))</f>
        <v>374.904</v>
      </c>
      <c r="E46" s="57">
        <f>IF(Input_Data!E46="",NA(),CONVERT(Input_Data!E46,"lbm","g")/1000)</f>
        <v>170.32393493500001</v>
      </c>
      <c r="F46" s="58">
        <f>IF(Input_Data!F46="",NA(),CONVERT(Input_Data!F46,"in","m")*1000)</f>
        <v>4.0640000000000001</v>
      </c>
      <c r="G46" s="58">
        <f>IF(Input_Data!K46="",NA(),CONVERT(Input_Data!K46,"psi","Pa"))</f>
        <v>17.820380826648311</v>
      </c>
      <c r="H46" s="59">
        <f t="shared" si="0"/>
        <v>28.726468106449733</v>
      </c>
      <c r="I46" s="60">
        <f t="shared" si="1"/>
        <v>1.4582822331562222</v>
      </c>
      <c r="J46" s="59">
        <f t="shared" si="2"/>
        <v>0.60895369927586285</v>
      </c>
      <c r="K46" s="59">
        <f t="shared" si="3"/>
        <v>67.633445640673386</v>
      </c>
      <c r="L46" s="61">
        <f t="shared" si="4"/>
        <v>1.830161513473135</v>
      </c>
      <c r="M46" s="61">
        <f t="shared" si="5"/>
        <v>1.2509169807976397</v>
      </c>
    </row>
    <row r="47" spans="1:13" s="62" customFormat="1" ht="18.75" customHeight="1" x14ac:dyDescent="0.3">
      <c r="A47" s="53">
        <v>41</v>
      </c>
      <c r="B47" s="54">
        <f>IF(Input_Data!B47="",NA(),Input_Data!B47)</f>
        <v>36734</v>
      </c>
      <c r="C47" s="55" t="str">
        <f>IF(Input_Data!C47="",NA(),Input_Data!C47)</f>
        <v>Seis 5</v>
      </c>
      <c r="D47" s="56">
        <f>IF(Input_Data!D47="",NA(),CONVERT(Input_Data!D47,"ft","m"))</f>
        <v>670.56</v>
      </c>
      <c r="E47" s="57">
        <f>IF(Input_Data!E47="",NA(),CONVERT(Input_Data!E47,"lbm","g")/1000)</f>
        <v>170.32393493500001</v>
      </c>
      <c r="F47" s="58">
        <f>IF(Input_Data!F47="",NA(),CONVERT(Input_Data!F47,"in","m")*1000)</f>
        <v>1.524</v>
      </c>
      <c r="G47" s="58">
        <f>IF(Input_Data!K47="",NA(),CONVERT(Input_Data!K47,"psi","Pa"))</f>
        <v>12.615863482345585</v>
      </c>
      <c r="H47" s="59">
        <f t="shared" si="0"/>
        <v>51.380674661942606</v>
      </c>
      <c r="I47" s="60">
        <f t="shared" si="1"/>
        <v>1.7107998025390303</v>
      </c>
      <c r="J47" s="59">
        <f t="shared" si="2"/>
        <v>0.18298496700358169</v>
      </c>
      <c r="K47" s="59">
        <f t="shared" si="3"/>
        <v>120.97039057681418</v>
      </c>
      <c r="L47" s="61">
        <f t="shared" si="4"/>
        <v>2.0826790828559432</v>
      </c>
      <c r="M47" s="61">
        <f t="shared" si="5"/>
        <v>1.1009169807976396</v>
      </c>
    </row>
    <row r="48" spans="1:13" s="62" customFormat="1" ht="18.75" customHeight="1" x14ac:dyDescent="0.3">
      <c r="A48" s="53">
        <v>42</v>
      </c>
      <c r="B48" s="54">
        <f>IF(Input_Data!B48="",NA(),Input_Data!B48)</f>
        <v>36734</v>
      </c>
      <c r="C48" s="55" t="str">
        <f>IF(Input_Data!C48="",NA(),Input_Data!C48)</f>
        <v>Seis 6</v>
      </c>
      <c r="D48" s="56">
        <f>IF(Input_Data!D48="",NA(),CONVERT(Input_Data!D48,"ft","m"))</f>
        <v>792.48</v>
      </c>
      <c r="E48" s="57">
        <f>IF(Input_Data!E48="",NA(),CONVERT(Input_Data!E48,"lbm","g")/1000)</f>
        <v>170.32393493500001</v>
      </c>
      <c r="F48" s="58">
        <f>IF(Input_Data!F48="",NA(),CONVERT(Input_Data!F48,"in","m")*1000)</f>
        <v>1.27</v>
      </c>
      <c r="G48" s="58">
        <f>IF(Input_Data!K48="",NA(),CONVERT(Input_Data!K48,"psi","Pa"))</f>
        <v>12.615863482345585</v>
      </c>
      <c r="H48" s="59">
        <f t="shared" si="0"/>
        <v>60.722615509568541</v>
      </c>
      <c r="I48" s="60">
        <f t="shared" si="1"/>
        <v>1.7833504696876421</v>
      </c>
      <c r="J48" s="59">
        <f t="shared" si="2"/>
        <v>0.10380372095595687</v>
      </c>
      <c r="K48" s="59">
        <f t="shared" si="3"/>
        <v>142.96500704532585</v>
      </c>
      <c r="L48" s="61">
        <f t="shared" si="4"/>
        <v>2.1552297500045552</v>
      </c>
      <c r="M48" s="61">
        <f t="shared" si="5"/>
        <v>1.1009169807976396</v>
      </c>
    </row>
    <row r="49" spans="1:13" s="62" customFormat="1" ht="18.75" customHeight="1" x14ac:dyDescent="0.3">
      <c r="A49" s="53">
        <v>43</v>
      </c>
      <c r="B49" s="54">
        <f>IF(Input_Data!B49="",NA(),Input_Data!B49)</f>
        <v>36738</v>
      </c>
      <c r="C49" s="55" t="str">
        <f>IF(Input_Data!C49="",NA(),Input_Data!C49)</f>
        <v>Seis 1A</v>
      </c>
      <c r="D49" s="56">
        <f>IF(Input_Data!D49="",NA(),CONVERT(Input_Data!D49,"ft","m"))</f>
        <v>28.346399999999999</v>
      </c>
      <c r="E49" s="57">
        <f>IF(Input_Data!E49="",NA(),CONVERT(Input_Data!E49,"lbm","g")/1000)</f>
        <v>158.7573295</v>
      </c>
      <c r="F49" s="58">
        <f>IF(Input_Data!F49="",NA(),CONVERT(Input_Data!F49,"in","m")*1000)</f>
        <v>49.783999999999999</v>
      </c>
      <c r="G49" s="58">
        <f>IF(Input_Data!K49="",NA(),CONVERT(Input_Data!K49,"psi","Pa"))</f>
        <v>158.82431129650914</v>
      </c>
      <c r="H49" s="59">
        <f t="shared" si="0"/>
        <v>2.2497332071611069</v>
      </c>
      <c r="I49" s="60">
        <f t="shared" si="1"/>
        <v>0.35213101876571506</v>
      </c>
      <c r="J49" s="59">
        <f t="shared" si="2"/>
        <v>1.6970897879764142</v>
      </c>
      <c r="K49" s="59">
        <f t="shared" si="3"/>
        <v>5.2350397411256457</v>
      </c>
      <c r="L49" s="61">
        <f t="shared" si="4"/>
        <v>0.7189199829176427</v>
      </c>
      <c r="M49" s="61">
        <f t="shared" si="5"/>
        <v>2.2009169807976394</v>
      </c>
    </row>
    <row r="50" spans="1:13" s="62" customFormat="1" ht="18.75" customHeight="1" x14ac:dyDescent="0.3">
      <c r="A50" s="53">
        <v>44</v>
      </c>
      <c r="B50" s="54">
        <f>IF(Input_Data!B50="",NA(),Input_Data!B50)</f>
        <v>36738</v>
      </c>
      <c r="C50" s="55" t="str">
        <f>IF(Input_Data!C50="",NA(),Input_Data!C50)</f>
        <v>Seis 1</v>
      </c>
      <c r="D50" s="56">
        <f>IF(Input_Data!D50="",NA(),CONVERT(Input_Data!D50,"ft","m"))</f>
        <v>89.611199999999997</v>
      </c>
      <c r="E50" s="57">
        <f>IF(Input_Data!E50="",NA(),CONVERT(Input_Data!E50,"lbm","g")/1000)</f>
        <v>158.7573295</v>
      </c>
      <c r="F50" s="58">
        <f>IF(Input_Data!F50="",NA(),CONVERT(Input_Data!F50,"in","m")*1000)</f>
        <v>32.512</v>
      </c>
      <c r="G50" s="58">
        <f>IF(Input_Data!K50="",NA(),CONVERT(Input_Data!K50,"psi","Pa"))</f>
        <v>63.229097185361127</v>
      </c>
      <c r="H50" s="59">
        <f t="shared" si="0"/>
        <v>7.1120598161867257</v>
      </c>
      <c r="I50" s="60">
        <f t="shared" si="1"/>
        <v>0.8519954006239373</v>
      </c>
      <c r="J50" s="59">
        <f t="shared" si="2"/>
        <v>1.5120436862678064</v>
      </c>
      <c r="K50" s="59">
        <f t="shared" si="3"/>
        <v>16.549480471945589</v>
      </c>
      <c r="L50" s="61">
        <f t="shared" si="4"/>
        <v>1.2187843647758649</v>
      </c>
      <c r="M50" s="61">
        <f t="shared" si="5"/>
        <v>1.8009169807976397</v>
      </c>
    </row>
    <row r="51" spans="1:13" s="62" customFormat="1" ht="18.75" customHeight="1" x14ac:dyDescent="0.3">
      <c r="A51" s="53">
        <v>45</v>
      </c>
      <c r="B51" s="54">
        <f>IF(Input_Data!B51="",NA(),Input_Data!B51)</f>
        <v>36738</v>
      </c>
      <c r="C51" s="55" t="str">
        <f>IF(Input_Data!C51="",NA(),Input_Data!C51)</f>
        <v>Seis 2</v>
      </c>
      <c r="D51" s="56">
        <f>IF(Input_Data!D51="",NA(),CONVERT(Input_Data!D51,"ft","m"))</f>
        <v>153.61920000000001</v>
      </c>
      <c r="E51" s="57">
        <f>IF(Input_Data!E51="",NA(),CONVERT(Input_Data!E51,"lbm","g")/1000)</f>
        <v>158.7573295</v>
      </c>
      <c r="F51" s="58">
        <f>IF(Input_Data!F51="",NA(),CONVERT(Input_Data!F51,"in","m")*1000)</f>
        <v>12.7</v>
      </c>
      <c r="G51" s="58">
        <f>IF(Input_Data!K51="",NA(),CONVERT(Input_Data!K51,"psi","Pa"))</f>
        <v>31.689616303081074</v>
      </c>
      <c r="H51" s="59">
        <f t="shared" si="0"/>
        <v>12.192102542034387</v>
      </c>
      <c r="I51" s="60">
        <f t="shared" si="1"/>
        <v>1.0860786066573054</v>
      </c>
      <c r="J51" s="59">
        <f t="shared" si="2"/>
        <v>1.1038037209559568</v>
      </c>
      <c r="K51" s="59">
        <f t="shared" si="3"/>
        <v>28.370537951906726</v>
      </c>
      <c r="L51" s="61">
        <f t="shared" si="4"/>
        <v>1.4528675708092329</v>
      </c>
      <c r="M51" s="61">
        <f t="shared" si="5"/>
        <v>1.5009169807976395</v>
      </c>
    </row>
    <row r="52" spans="1:13" s="62" customFormat="1" ht="18.75" customHeight="1" x14ac:dyDescent="0.3">
      <c r="A52" s="53">
        <v>46</v>
      </c>
      <c r="B52" s="54">
        <f>IF(Input_Data!B52="",NA(),Input_Data!B52)</f>
        <v>36738</v>
      </c>
      <c r="C52" s="55" t="str">
        <f>IF(Input_Data!C52="",NA(),Input_Data!C52)</f>
        <v>Seis 3</v>
      </c>
      <c r="D52" s="56">
        <f>IF(Input_Data!D52="",NA(),CONVERT(Input_Data!D52,"ft","m"))</f>
        <v>275.53919999999999</v>
      </c>
      <c r="E52" s="57">
        <f>IF(Input_Data!E52="",NA(),CONVERT(Input_Data!E52,"lbm","g")/1000)</f>
        <v>158.7573295</v>
      </c>
      <c r="F52" s="58">
        <f>IF(Input_Data!F52="",NA(),CONVERT(Input_Data!F52,"in","m")*1000)</f>
        <v>8.1280000000000001</v>
      </c>
      <c r="G52" s="58">
        <f>IF(Input_Data!K52="",NA(),CONVERT(Input_Data!K52,"psi","Pa"))</f>
        <v>22.434530270517083</v>
      </c>
      <c r="H52" s="59">
        <f t="shared" si="0"/>
        <v>21.868374400791836</v>
      </c>
      <c r="I52" s="60">
        <f t="shared" si="1"/>
        <v>1.3398165006871432</v>
      </c>
      <c r="J52" s="59">
        <f t="shared" si="2"/>
        <v>0.90998369493984399</v>
      </c>
      <c r="K52" s="59">
        <f t="shared" si="3"/>
        <v>50.886837913737459</v>
      </c>
      <c r="L52" s="61">
        <f t="shared" si="4"/>
        <v>1.7066054648390709</v>
      </c>
      <c r="M52" s="61">
        <f t="shared" si="5"/>
        <v>1.3509169807976391</v>
      </c>
    </row>
    <row r="53" spans="1:13" s="62" customFormat="1" ht="18.75" customHeight="1" x14ac:dyDescent="0.3">
      <c r="A53" s="53">
        <v>47</v>
      </c>
      <c r="B53" s="54">
        <f>IF(Input_Data!B53="",NA(),Input_Data!B53)</f>
        <v>36738</v>
      </c>
      <c r="C53" s="55" t="str">
        <f>IF(Input_Data!C53="",NA(),Input_Data!C53)</f>
        <v>Seis 4</v>
      </c>
      <c r="D53" s="56">
        <f>IF(Input_Data!D53="",NA(),CONVERT(Input_Data!D53,"ft","m"))</f>
        <v>437.08319999999998</v>
      </c>
      <c r="E53" s="57">
        <f>IF(Input_Data!E53="",NA(),CONVERT(Input_Data!E53,"lbm","g")/1000)</f>
        <v>158.7573295</v>
      </c>
      <c r="F53" s="58">
        <f>IF(Input_Data!F53="",NA(),CONVERT(Input_Data!F53,"in","m")*1000)</f>
        <v>4.0640000000000001</v>
      </c>
      <c r="G53" s="58">
        <f>IF(Input_Data!K53="",NA(),CONVERT(Input_Data!K53,"psi","Pa"))</f>
        <v>35.556334301805308</v>
      </c>
      <c r="H53" s="59">
        <f t="shared" si="0"/>
        <v>34.68943461364546</v>
      </c>
      <c r="I53" s="60">
        <f t="shared" si="1"/>
        <v>1.5401972215435613</v>
      </c>
      <c r="J53" s="59">
        <f t="shared" si="2"/>
        <v>0.60895369927586285</v>
      </c>
      <c r="K53" s="59">
        <f t="shared" si="3"/>
        <v>80.720935363163179</v>
      </c>
      <c r="L53" s="61">
        <f t="shared" si="4"/>
        <v>1.9069861856954888</v>
      </c>
      <c r="M53" s="61">
        <f t="shared" si="5"/>
        <v>1.5509169807976393</v>
      </c>
    </row>
    <row r="54" spans="1:13" s="62" customFormat="1" ht="18.75" customHeight="1" x14ac:dyDescent="0.3">
      <c r="A54" s="53">
        <v>48</v>
      </c>
      <c r="B54" s="54">
        <f>IF(Input_Data!B54="",NA(),Input_Data!B54)</f>
        <v>36738</v>
      </c>
      <c r="C54" s="55" t="str">
        <f>IF(Input_Data!C54="",NA(),Input_Data!C54)</f>
        <v>Seis 5 A</v>
      </c>
      <c r="D54" s="56">
        <f>IF(Input_Data!D54="",NA(),CONVERT(Input_Data!D54,"ft","m"))</f>
        <v>732.73919999999998</v>
      </c>
      <c r="E54" s="57">
        <f>IF(Input_Data!E54="",NA(),CONVERT(Input_Data!E54,"lbm","g")/1000)</f>
        <v>158.7573295</v>
      </c>
      <c r="F54" s="58">
        <f>IF(Input_Data!F54="",NA(),CONVERT(Input_Data!F54,"in","m")*1000)</f>
        <v>2.286</v>
      </c>
      <c r="G54" s="58">
        <f>IF(Input_Data!K54="",NA(),CONVERT(Input_Data!K54,"psi","Pa"))</f>
        <v>12.615863482345585</v>
      </c>
      <c r="H54" s="59">
        <f t="shared" si="0"/>
        <v>58.154393871132271</v>
      </c>
      <c r="I54" s="60">
        <f t="shared" si="1"/>
        <v>1.7645825335424818</v>
      </c>
      <c r="J54" s="59">
        <f t="shared" si="2"/>
        <v>0.35907622605926293</v>
      </c>
      <c r="K54" s="59">
        <f t="shared" si="3"/>
        <v>135.32296277060271</v>
      </c>
      <c r="L54" s="61">
        <f t="shared" si="4"/>
        <v>2.1313714976944094</v>
      </c>
      <c r="M54" s="61">
        <f t="shared" si="5"/>
        <v>1.1009169807976396</v>
      </c>
    </row>
    <row r="55" spans="1:13" s="62" customFormat="1" ht="18.75" customHeight="1" x14ac:dyDescent="0.3">
      <c r="A55" s="53">
        <v>49</v>
      </c>
      <c r="B55" s="54">
        <f>IF(Input_Data!B55="",NA(),Input_Data!B55)</f>
        <v>36738</v>
      </c>
      <c r="C55" s="55" t="str">
        <f>IF(Input_Data!C55="",NA(),Input_Data!C55)</f>
        <v>Seis 5</v>
      </c>
      <c r="D55" s="56">
        <f>IF(Input_Data!D55="",NA(),CONVERT(Input_Data!D55,"ft","m"))</f>
        <v>854.65920000000006</v>
      </c>
      <c r="E55" s="57">
        <f>IF(Input_Data!E55="",NA(),CONVERT(Input_Data!E55,"lbm","g")/1000)</f>
        <v>158.7573295</v>
      </c>
      <c r="F55" s="58">
        <f>IF(Input_Data!F55="",NA(),CONVERT(Input_Data!F55,"in","m")*1000)</f>
        <v>1.016</v>
      </c>
      <c r="G55" s="58">
        <f>IF(Input_Data!K55="",NA(),CONVERT(Input_Data!K55,"psi","Pa"))</f>
        <v>7.9600717211454013</v>
      </c>
      <c r="H55" s="59">
        <f t="shared" si="0"/>
        <v>67.830665729889731</v>
      </c>
      <c r="I55" s="60">
        <f t="shared" si="1"/>
        <v>1.831426079506401</v>
      </c>
      <c r="J55" s="59">
        <f t="shared" si="2"/>
        <v>6.8937079479004558E-3</v>
      </c>
      <c r="K55" s="59">
        <f t="shared" si="3"/>
        <v>157.83926273243347</v>
      </c>
      <c r="L55" s="61">
        <f t="shared" si="4"/>
        <v>2.1982150436583288</v>
      </c>
      <c r="M55" s="61">
        <f t="shared" si="5"/>
        <v>0.90091698079763882</v>
      </c>
    </row>
    <row r="56" spans="1:13" s="62" customFormat="1" ht="18.75" customHeight="1" x14ac:dyDescent="0.3">
      <c r="A56" s="53">
        <v>50</v>
      </c>
      <c r="B56" s="54">
        <f>IF(Input_Data!B56="",NA(),Input_Data!B56)</f>
        <v>37106</v>
      </c>
      <c r="C56" s="55" t="str">
        <f>IF(Input_Data!C56="",NA(),Input_Data!C56)</f>
        <v>Seis 2</v>
      </c>
      <c r="D56" s="56">
        <f>IF(Input_Data!D56="",NA(),CONVERT(Input_Data!D56,"ft","m"))</f>
        <v>80.467200000000005</v>
      </c>
      <c r="E56" s="57">
        <f>IF(Input_Data!E56="",NA(),CONVERT(Input_Data!E56,"lbm","g")/1000)</f>
        <v>165.56121504999999</v>
      </c>
      <c r="F56" s="58">
        <f>IF(Input_Data!F56="",NA(),CONVERT(Input_Data!F56,"in","m")*1000)</f>
        <v>26.669999999999998</v>
      </c>
      <c r="G56" s="58">
        <f>IF(Input_Data!K56="",NA(),CONVERT(Input_Data!K56,"psi","Pa"))</f>
        <v>63.229097185361127</v>
      </c>
      <c r="H56" s="59">
        <f t="shared" si="0"/>
        <v>6.2537366245814097</v>
      </c>
      <c r="I56" s="60">
        <f t="shared" si="1"/>
        <v>0.79613958702851151</v>
      </c>
      <c r="J56" s="59">
        <f t="shared" si="2"/>
        <v>1.4260230156898761</v>
      </c>
      <c r="K56" s="59">
        <f t="shared" si="3"/>
        <v>14.654331823227176</v>
      </c>
      <c r="L56" s="61">
        <f t="shared" si="4"/>
        <v>1.1659660211981391</v>
      </c>
      <c r="M56" s="61">
        <f t="shared" si="5"/>
        <v>1.8009169807976397</v>
      </c>
    </row>
    <row r="57" spans="1:13" s="62" customFormat="1" ht="18.75" customHeight="1" x14ac:dyDescent="0.3">
      <c r="A57" s="53">
        <v>51</v>
      </c>
      <c r="B57" s="54">
        <f>IF(Input_Data!B57="",NA(),Input_Data!B57)</f>
        <v>37106</v>
      </c>
      <c r="C57" s="55" t="str">
        <f>IF(Input_Data!C57="",NA(),Input_Data!C57)</f>
        <v>Seis 3</v>
      </c>
      <c r="D57" s="56">
        <f>IF(Input_Data!D57="",NA(),CONVERT(Input_Data!D57,"ft","m"))</f>
        <v>216.40799999999999</v>
      </c>
      <c r="E57" s="57">
        <f>IF(Input_Data!E57="",NA(),CONVERT(Input_Data!E57,"lbm","g")/1000)</f>
        <v>165.56121504999999</v>
      </c>
      <c r="F57" s="58">
        <f>IF(Input_Data!F57="",NA(),CONVERT(Input_Data!F57,"in","m")*1000)</f>
        <v>10.414</v>
      </c>
      <c r="G57" s="58">
        <f>IF(Input_Data!K57="",NA(),CONVERT(Input_Data!K57,"psi","Pa"))</f>
        <v>28.243400259219452</v>
      </c>
      <c r="H57" s="59">
        <f t="shared" si="0"/>
        <v>16.818761376715152</v>
      </c>
      <c r="I57" s="60">
        <f t="shared" si="1"/>
        <v>1.2257940088777557</v>
      </c>
      <c r="J57" s="59">
        <f t="shared" si="2"/>
        <v>1.0176175733396735</v>
      </c>
      <c r="K57" s="59">
        <f t="shared" si="3"/>
        <v>39.411271191254905</v>
      </c>
      <c r="L57" s="61">
        <f t="shared" si="4"/>
        <v>1.5956204430473833</v>
      </c>
      <c r="M57" s="61">
        <f t="shared" si="5"/>
        <v>1.4509169807976396</v>
      </c>
    </row>
    <row r="58" spans="1:13" s="62" customFormat="1" ht="18.75" customHeight="1" x14ac:dyDescent="0.3">
      <c r="A58" s="53">
        <v>52</v>
      </c>
      <c r="B58" s="54">
        <f>IF(Input_Data!B58="",NA(),Input_Data!B58)</f>
        <v>37106</v>
      </c>
      <c r="C58" s="55" t="str">
        <f>IF(Input_Data!C58="",NA(),Input_Data!C58)</f>
        <v>Seis 4</v>
      </c>
      <c r="D58" s="56">
        <f>IF(Input_Data!D58="",NA(),CONVERT(Input_Data!D58,"ft","m"))</f>
        <v>321.86880000000002</v>
      </c>
      <c r="E58" s="57">
        <f>IF(Input_Data!E58="",NA(),CONVERT(Input_Data!E58,"lbm","g")/1000)</f>
        <v>165.56121504999999</v>
      </c>
      <c r="F58" s="58">
        <f>IF(Input_Data!F58="",NA(),CONVERT(Input_Data!F58,"in","m")*1000)</f>
        <v>7.1120000000000001</v>
      </c>
      <c r="G58" s="58">
        <f>IF(Input_Data!K58="",NA(),CONVERT(Input_Data!K58,"psi","Pa"))</f>
        <v>19.994796150188247</v>
      </c>
      <c r="H58" s="59">
        <f t="shared" si="0"/>
        <v>25.014946498325639</v>
      </c>
      <c r="I58" s="60">
        <f t="shared" si="1"/>
        <v>1.398199578356474</v>
      </c>
      <c r="J58" s="59">
        <f t="shared" si="2"/>
        <v>0.85199174796215726</v>
      </c>
      <c r="K58" s="59">
        <f t="shared" si="3"/>
        <v>58.617327292908705</v>
      </c>
      <c r="L58" s="61">
        <f t="shared" si="4"/>
        <v>1.7680260125261014</v>
      </c>
      <c r="M58" s="61">
        <f t="shared" si="5"/>
        <v>1.3009169807976388</v>
      </c>
    </row>
    <row r="59" spans="1:13" s="62" customFormat="1" ht="18.75" customHeight="1" x14ac:dyDescent="0.3">
      <c r="A59" s="53">
        <v>53</v>
      </c>
      <c r="B59" s="54">
        <f>IF(Input_Data!B59="",NA(),Input_Data!B59)</f>
        <v>37106</v>
      </c>
      <c r="C59" s="55" t="str">
        <f>IF(Input_Data!C59="",NA(),Input_Data!C59)</f>
        <v>Seis 5 A</v>
      </c>
      <c r="D59" s="56">
        <f>IF(Input_Data!D59="",NA(),CONVERT(Input_Data!D59,"ft","m"))</f>
        <v>515.11199999999997</v>
      </c>
      <c r="E59" s="57">
        <f>IF(Input_Data!E59="",NA(),CONVERT(Input_Data!E59,"lbm","g")/1000)</f>
        <v>165.56121504999999</v>
      </c>
      <c r="F59" s="58">
        <f>IF(Input_Data!F59="",NA(),CONVERT(Input_Data!F59,"in","m")*1000)</f>
        <v>4.0640000000000001</v>
      </c>
      <c r="G59" s="58">
        <f>IF(Input_Data!K59="",NA(),CONVERT(Input_Data!K59,"psi","Pa"))</f>
        <v>10.021136569454107</v>
      </c>
      <c r="H59" s="59">
        <f t="shared" si="0"/>
        <v>40.03338975584311</v>
      </c>
      <c r="I59" s="60">
        <f t="shared" si="1"/>
        <v>1.6024223647723539</v>
      </c>
      <c r="J59" s="59">
        <f t="shared" si="2"/>
        <v>0.60895369927586285</v>
      </c>
      <c r="K59" s="59">
        <f t="shared" si="3"/>
        <v>93.809927201719418</v>
      </c>
      <c r="L59" s="61">
        <f t="shared" si="4"/>
        <v>1.9722487989419815</v>
      </c>
      <c r="M59" s="61">
        <f t="shared" si="5"/>
        <v>1.0009169807976399</v>
      </c>
    </row>
    <row r="60" spans="1:13" s="62" customFormat="1" ht="18.75" customHeight="1" x14ac:dyDescent="0.3">
      <c r="A60" s="53">
        <v>54</v>
      </c>
      <c r="B60" s="54">
        <f>IF(Input_Data!B60="",NA(),Input_Data!B60)</f>
        <v>37106</v>
      </c>
      <c r="C60" s="55" t="str">
        <f>IF(Input_Data!C60="",NA(),Input_Data!C60)</f>
        <v>Seis 6</v>
      </c>
      <c r="D60" s="56">
        <f>IF(Input_Data!D60="",NA(),CONVERT(Input_Data!D60,"ft","m"))</f>
        <v>981.45600000000002</v>
      </c>
      <c r="E60" s="57">
        <f>IF(Input_Data!E60="",NA(),CONVERT(Input_Data!E60,"lbm","g")/1000)</f>
        <v>165.56121504999999</v>
      </c>
      <c r="F60" s="58">
        <f>IF(Input_Data!F60="",NA(),CONVERT(Input_Data!F60,"in","m")*1000)</f>
        <v>1.27</v>
      </c>
      <c r="G60" s="58">
        <f>IF(Input_Data!K60="",NA(),CONVERT(Input_Data!K60,"psi","Pa"))</f>
        <v>7.9600717211454013</v>
      </c>
      <c r="H60" s="59">
        <f t="shared" si="0"/>
        <v>76.276636102849011</v>
      </c>
      <c r="I60" s="60">
        <f t="shared" si="1"/>
        <v>1.8823915318545112</v>
      </c>
      <c r="J60" s="59">
        <f t="shared" si="2"/>
        <v>0.10380372095595687</v>
      </c>
      <c r="K60" s="59">
        <f t="shared" si="3"/>
        <v>178.73844117724056</v>
      </c>
      <c r="L60" s="61">
        <f t="shared" si="4"/>
        <v>2.2522179660241388</v>
      </c>
      <c r="M60" s="61">
        <f t="shared" si="5"/>
        <v>0.90091698079763882</v>
      </c>
    </row>
    <row r="61" spans="1:13" s="62" customFormat="1" ht="18.75" customHeight="1" x14ac:dyDescent="0.3">
      <c r="A61" s="53">
        <v>55</v>
      </c>
      <c r="B61" s="54">
        <f>IF(Input_Data!B61="",NA(),Input_Data!B61)</f>
        <v>37106</v>
      </c>
      <c r="C61" s="55" t="str">
        <f>IF(Input_Data!C61="",NA(),Input_Data!C61)</f>
        <v>Seis 15</v>
      </c>
      <c r="D61" s="56">
        <f>IF(Input_Data!D61="",NA(),CONVERT(Input_Data!D61,"ft","m"))</f>
        <v>216.40799999999999</v>
      </c>
      <c r="E61" s="57">
        <f>IF(Input_Data!E61="",NA(),CONVERT(Input_Data!E61,"lbm","g")/1000)</f>
        <v>165.56121504999999</v>
      </c>
      <c r="F61" s="58">
        <f>IF(Input_Data!F61="",NA(),CONVERT(Input_Data!F61,"in","m")*1000)</f>
        <v>18.795999999999999</v>
      </c>
      <c r="G61" s="58">
        <f>IF(Input_Data!K61="",NA(),CONVERT(Input_Data!K61,"psi","Pa"))</f>
        <v>50.224657150457986</v>
      </c>
      <c r="H61" s="59">
        <f t="shared" si="0"/>
        <v>16.818761376715152</v>
      </c>
      <c r="I61" s="60">
        <f t="shared" si="1"/>
        <v>1.2257940088777557</v>
      </c>
      <c r="J61" s="59">
        <f t="shared" si="2"/>
        <v>1.2740654363509143</v>
      </c>
      <c r="K61" s="59">
        <f t="shared" si="3"/>
        <v>39.411271191254905</v>
      </c>
      <c r="L61" s="61">
        <f t="shared" si="4"/>
        <v>1.5956204430473833</v>
      </c>
      <c r="M61" s="61">
        <f t="shared" si="5"/>
        <v>1.7009169807976401</v>
      </c>
    </row>
    <row r="62" spans="1:13" s="62" customFormat="1" ht="18.75" customHeight="1" x14ac:dyDescent="0.3">
      <c r="A62" s="53">
        <v>56</v>
      </c>
      <c r="B62" s="54">
        <f>IF(Input_Data!B62="",NA(),Input_Data!B62)</f>
        <v>37106</v>
      </c>
      <c r="C62" s="55" t="str">
        <f>IF(Input_Data!C62="",NA(),Input_Data!C62)</f>
        <v>Seis 16</v>
      </c>
      <c r="D62" s="56">
        <f>IF(Input_Data!D62="",NA(),CONVERT(Input_Data!D62,"ft","m"))</f>
        <v>251.15520000000001</v>
      </c>
      <c r="E62" s="57">
        <f>IF(Input_Data!E62="",NA(),CONVERT(Input_Data!E62,"lbm","g")/1000)</f>
        <v>165.56121504999999</v>
      </c>
      <c r="F62" s="58">
        <f>IF(Input_Data!F62="",NA(),CONVERT(Input_Data!F62,"in","m")*1000)</f>
        <v>5.5880000000000001</v>
      </c>
      <c r="G62" s="58">
        <f>IF(Input_Data!K62="",NA(),CONVERT(Input_Data!K62,"psi","Pa"))</f>
        <v>25.171956977116178</v>
      </c>
      <c r="H62" s="59">
        <f t="shared" si="0"/>
        <v>19.519238555511674</v>
      </c>
      <c r="I62" s="60">
        <f t="shared" si="1"/>
        <v>1.2904628718557962</v>
      </c>
      <c r="J62" s="59">
        <f t="shared" si="2"/>
        <v>0.74725639744214434</v>
      </c>
      <c r="K62" s="59">
        <f t="shared" si="3"/>
        <v>45.739278114921184</v>
      </c>
      <c r="L62" s="61">
        <f t="shared" si="4"/>
        <v>1.6602893060254238</v>
      </c>
      <c r="M62" s="61">
        <f t="shared" si="5"/>
        <v>1.4009169807976389</v>
      </c>
    </row>
    <row r="63" spans="1:13" s="62" customFormat="1" ht="18.75" customHeight="1" x14ac:dyDescent="0.3">
      <c r="A63" s="53">
        <v>57</v>
      </c>
      <c r="B63" s="54">
        <f>IF(Input_Data!B63="",NA(),Input_Data!B63)</f>
        <v>37106</v>
      </c>
      <c r="C63" s="55" t="str">
        <f>IF(Input_Data!C63="",NA(),Input_Data!C63)</f>
        <v>Seis 17</v>
      </c>
      <c r="D63" s="56">
        <f>IF(Input_Data!D63="",NA(),CONVERT(Input_Data!D63,"ft","m"))</f>
        <v>370.02719999999999</v>
      </c>
      <c r="E63" s="57">
        <f>IF(Input_Data!E63="",NA(),CONVERT(Input_Data!E63,"lbm","g")/1000)</f>
        <v>165.56121504999999</v>
      </c>
      <c r="F63" s="58">
        <f>IF(Input_Data!F63="",NA(),CONVERT(Input_Data!F63,"in","m")*1000)</f>
        <v>3.556</v>
      </c>
      <c r="G63" s="58">
        <f>IF(Input_Data!K63="",NA(),CONVERT(Input_Data!K63,"psi","Pa"))</f>
        <v>14.155231644145974</v>
      </c>
      <c r="H63" s="59">
        <f t="shared" si="0"/>
        <v>28.757713114552391</v>
      </c>
      <c r="I63" s="60">
        <f t="shared" si="1"/>
        <v>1.4587543468979192</v>
      </c>
      <c r="J63" s="59">
        <f t="shared" si="2"/>
        <v>0.55096175229817612</v>
      </c>
      <c r="K63" s="59">
        <f t="shared" si="3"/>
        <v>67.387722853779508</v>
      </c>
      <c r="L63" s="61">
        <f t="shared" si="4"/>
        <v>1.8285807810675467</v>
      </c>
      <c r="M63" s="61">
        <f t="shared" si="5"/>
        <v>1.1509169807976394</v>
      </c>
    </row>
    <row r="64" spans="1:13" s="62" customFormat="1" ht="18.75" customHeight="1" x14ac:dyDescent="0.3">
      <c r="A64" s="53">
        <v>58</v>
      </c>
      <c r="B64" s="54">
        <f>IF(Input_Data!B64="",NA(),Input_Data!B64)</f>
        <v>37106</v>
      </c>
      <c r="C64" s="55" t="str">
        <f>IF(Input_Data!C64="",NA(),Input_Data!C64)</f>
        <v>Seis 18</v>
      </c>
      <c r="D64" s="56">
        <f>IF(Input_Data!D64="",NA(),CONVERT(Input_Data!D64,"ft","m"))</f>
        <v>437.69279999999998</v>
      </c>
      <c r="E64" s="57">
        <f>IF(Input_Data!E64="",NA(),CONVERT(Input_Data!E64,"lbm","g")/1000)</f>
        <v>165.56121504999999</v>
      </c>
      <c r="F64" s="58">
        <f>IF(Input_Data!F64="",NA(),CONVERT(Input_Data!F64,"in","m")*1000)</f>
        <v>7.8740000000000006</v>
      </c>
      <c r="G64" s="58">
        <f>IF(Input_Data!K64="",NA(),CONVERT(Input_Data!K64,"psi","Pa"))</f>
        <v>10.021136569454107</v>
      </c>
      <c r="H64" s="59">
        <f t="shared" si="0"/>
        <v>34.016537094314032</v>
      </c>
      <c r="I64" s="60">
        <f t="shared" si="1"/>
        <v>1.5316901000649621</v>
      </c>
      <c r="J64" s="59">
        <f t="shared" si="2"/>
        <v>0.89619541045421081</v>
      </c>
      <c r="K64" s="59">
        <f t="shared" si="3"/>
        <v>79.71068370512964</v>
      </c>
      <c r="L64" s="61">
        <f t="shared" si="4"/>
        <v>1.9015165342345894</v>
      </c>
      <c r="M64" s="61">
        <f t="shared" si="5"/>
        <v>1.0009169807976399</v>
      </c>
    </row>
    <row r="65" spans="1:13" s="62" customFormat="1" ht="18.75" customHeight="1" x14ac:dyDescent="0.3">
      <c r="A65" s="53">
        <v>59</v>
      </c>
      <c r="B65" s="54">
        <f>IF(Input_Data!B65="",NA(),Input_Data!B65)</f>
        <v>37106</v>
      </c>
      <c r="C65" s="55" t="str">
        <f>IF(Input_Data!C65="",NA(),Input_Data!C65)</f>
        <v>Seis 19</v>
      </c>
      <c r="D65" s="56">
        <f>IF(Input_Data!D65="",NA(),CONVERT(Input_Data!D65,"ft","m"))</f>
        <v>981.45600000000002</v>
      </c>
      <c r="E65" s="57">
        <f>IF(Input_Data!E65="",NA(),CONVERT(Input_Data!E65,"lbm","g")/1000)</f>
        <v>165.56121504999999</v>
      </c>
      <c r="F65" s="58">
        <f>IF(Input_Data!F65="",NA(),CONVERT(Input_Data!F65,"in","m")*1000)</f>
        <v>1.27</v>
      </c>
      <c r="G65" s="58">
        <f>IF(Input_Data!K65="",NA(),CONVERT(Input_Data!K65,"psi","Pa"))</f>
        <v>5.6352992183802844</v>
      </c>
      <c r="H65" s="59">
        <f t="shared" si="0"/>
        <v>76.276636102849011</v>
      </c>
      <c r="I65" s="60">
        <f t="shared" si="1"/>
        <v>1.8823915318545112</v>
      </c>
      <c r="J65" s="59">
        <f t="shared" si="2"/>
        <v>0.10380372095595687</v>
      </c>
      <c r="K65" s="59">
        <f t="shared" si="3"/>
        <v>178.73844117724056</v>
      </c>
      <c r="L65" s="61">
        <f t="shared" si="4"/>
        <v>2.2522179660241388</v>
      </c>
      <c r="M65" s="61">
        <f t="shared" si="5"/>
        <v>0.75091698079763947</v>
      </c>
    </row>
    <row r="66" spans="1:13" s="62" customFormat="1" ht="18.75" customHeight="1" x14ac:dyDescent="0.3">
      <c r="A66" s="53">
        <v>60</v>
      </c>
      <c r="B66" s="54">
        <f>IF(Input_Data!B66="",NA(),Input_Data!B66)</f>
        <v>36741</v>
      </c>
      <c r="C66" s="55" t="str">
        <f>IF(Input_Data!C66="",NA(),Input_Data!C66)</f>
        <v>Seis 1 A</v>
      </c>
      <c r="D66" s="56">
        <f>IF(Input_Data!D66="",NA(),CONVERT(Input_Data!D66,"ft","m"))</f>
        <v>30.48</v>
      </c>
      <c r="E66" s="57">
        <f>IF(Input_Data!E66="",NA(),CONVERT(Input_Data!E66,"lbm","g")/1000)</f>
        <v>187.78724118000002</v>
      </c>
      <c r="F66" s="58">
        <f>IF(Input_Data!F66="",NA(),CONVERT(Input_Data!F66,"in","m")*1000)</f>
        <v>106.67999999999999</v>
      </c>
      <c r="G66" s="58">
        <f>IF(Input_Data!K66="",NA(),CONVERT(Input_Data!K66,"psi","Pa"))</f>
        <v>141.55231644145965</v>
      </c>
      <c r="H66" s="59">
        <f t="shared" si="0"/>
        <v>2.2242414090998821</v>
      </c>
      <c r="I66" s="60">
        <f t="shared" si="1"/>
        <v>0.34718192182646829</v>
      </c>
      <c r="J66" s="59">
        <f t="shared" si="2"/>
        <v>2.0280830070178384</v>
      </c>
      <c r="K66" s="59">
        <f t="shared" si="3"/>
        <v>5.3226298935981413</v>
      </c>
      <c r="L66" s="61">
        <f t="shared" si="4"/>
        <v>0.72612626877349984</v>
      </c>
      <c r="M66" s="61">
        <f t="shared" si="5"/>
        <v>2.1509169807976392</v>
      </c>
    </row>
    <row r="67" spans="1:13" s="62" customFormat="1" ht="18.75" customHeight="1" x14ac:dyDescent="0.3">
      <c r="A67" s="53">
        <v>61</v>
      </c>
      <c r="B67" s="54">
        <f>IF(Input_Data!B67="",NA(),Input_Data!B67)</f>
        <v>36741</v>
      </c>
      <c r="C67" s="55" t="str">
        <f>IF(Input_Data!C67="",NA(),Input_Data!C67)</f>
        <v>Seis 1</v>
      </c>
      <c r="D67" s="56">
        <f>IF(Input_Data!D67="",NA(),CONVERT(Input_Data!D67,"ft","m"))</f>
        <v>171.60239999999999</v>
      </c>
      <c r="E67" s="57">
        <f>IF(Input_Data!E67="",NA(),CONVERT(Input_Data!E67,"lbm","g")/1000)</f>
        <v>187.78724118000002</v>
      </c>
      <c r="F67" s="58">
        <f>IF(Input_Data!F67="",NA(),CONVERT(Input_Data!F67,"in","m")*1000)</f>
        <v>20.065999999999999</v>
      </c>
      <c r="G67" s="58">
        <f>IF(Input_Data!K67="",NA(),CONVERT(Input_Data!K67,"psi","Pa"))</f>
        <v>28.243400259219452</v>
      </c>
      <c r="H67" s="59">
        <f t="shared" si="0"/>
        <v>12.522479133232336</v>
      </c>
      <c r="I67" s="60">
        <f t="shared" si="1"/>
        <v>1.0976903166778145</v>
      </c>
      <c r="J67" s="59">
        <f t="shared" si="2"/>
        <v>1.3024608079103794</v>
      </c>
      <c r="K67" s="59">
        <f t="shared" si="3"/>
        <v>29.966406300957537</v>
      </c>
      <c r="L67" s="61">
        <f t="shared" si="4"/>
        <v>1.4766346636248462</v>
      </c>
      <c r="M67" s="61">
        <f t="shared" si="5"/>
        <v>1.4509169807976396</v>
      </c>
    </row>
    <row r="68" spans="1:13" s="62" customFormat="1" ht="18.75" customHeight="1" x14ac:dyDescent="0.3">
      <c r="A68" s="53">
        <v>62</v>
      </c>
      <c r="B68" s="54">
        <f>IF(Input_Data!B68="",NA(),Input_Data!B68)</f>
        <v>36741</v>
      </c>
      <c r="C68" s="55" t="str">
        <f>IF(Input_Data!C68="",NA(),Input_Data!C68)</f>
        <v>Seis 2</v>
      </c>
      <c r="D68" s="56">
        <f>IF(Input_Data!D68="",NA(),CONVERT(Input_Data!D68,"ft","m"))</f>
        <v>188.976</v>
      </c>
      <c r="E68" s="57">
        <f>IF(Input_Data!E68="",NA(),CONVERT(Input_Data!E68,"lbm","g")/1000)</f>
        <v>187.78724118000002</v>
      </c>
      <c r="F68" s="58">
        <f>IF(Input_Data!F68="",NA(),CONVERT(Input_Data!F68,"in","m")*1000)</f>
        <v>16.510000000000002</v>
      </c>
      <c r="G68" s="58">
        <f>IF(Input_Data!K68="",NA(),CONVERT(Input_Data!K68,"psi","Pa"))</f>
        <v>17.820380826648311</v>
      </c>
      <c r="H68" s="59">
        <f t="shared" si="0"/>
        <v>13.79029673641927</v>
      </c>
      <c r="I68" s="60">
        <f t="shared" si="1"/>
        <v>1.1395736113247221</v>
      </c>
      <c r="J68" s="59">
        <f t="shared" si="2"/>
        <v>1.2177470732627937</v>
      </c>
      <c r="K68" s="59">
        <f t="shared" si="3"/>
        <v>33.000305340308479</v>
      </c>
      <c r="L68" s="61">
        <f t="shared" si="4"/>
        <v>1.5185179582717538</v>
      </c>
      <c r="M68" s="61">
        <f t="shared" si="5"/>
        <v>1.2509169807976397</v>
      </c>
    </row>
    <row r="69" spans="1:13" s="62" customFormat="1" ht="18.75" customHeight="1" x14ac:dyDescent="0.3">
      <c r="A69" s="53">
        <v>63</v>
      </c>
      <c r="B69" s="54">
        <f>IF(Input_Data!B69="",NA(),Input_Data!B69)</f>
        <v>36741</v>
      </c>
      <c r="C69" s="55" t="str">
        <f>IF(Input_Data!C69="",NA(),Input_Data!C69)</f>
        <v>Seis 3</v>
      </c>
      <c r="D69" s="56">
        <f>IF(Input_Data!D69="",NA(),CONVERT(Input_Data!D69,"ft","m"))</f>
        <v>261.21359999999999</v>
      </c>
      <c r="E69" s="57">
        <f>IF(Input_Data!E69="",NA(),CONVERT(Input_Data!E69,"lbm","g")/1000)</f>
        <v>187.78724118000002</v>
      </c>
      <c r="F69" s="58">
        <f>IF(Input_Data!F69="",NA(),CONVERT(Input_Data!F69,"in","m")*1000)</f>
        <v>11.43</v>
      </c>
      <c r="G69" s="58">
        <f>IF(Input_Data!K69="",NA(),CONVERT(Input_Data!K69,"psi","Pa"))</f>
        <v>14.155231644145974</v>
      </c>
      <c r="H69" s="59">
        <f t="shared" si="0"/>
        <v>19.061748875985991</v>
      </c>
      <c r="I69" s="60">
        <f t="shared" si="1"/>
        <v>1.2801627437496665</v>
      </c>
      <c r="J69" s="59">
        <f t="shared" si="2"/>
        <v>1.0580462303952818</v>
      </c>
      <c r="K69" s="59">
        <f t="shared" si="3"/>
        <v>45.614938188136072</v>
      </c>
      <c r="L69" s="61">
        <f t="shared" si="4"/>
        <v>1.659107090696698</v>
      </c>
      <c r="M69" s="61">
        <f t="shared" si="5"/>
        <v>1.1509169807976394</v>
      </c>
    </row>
    <row r="70" spans="1:13" s="62" customFormat="1" ht="18.75" customHeight="1" x14ac:dyDescent="0.3">
      <c r="A70" s="53">
        <v>64</v>
      </c>
      <c r="B70" s="54">
        <f>IF(Input_Data!B70="",NA(),Input_Data!B70)</f>
        <v>36741</v>
      </c>
      <c r="C70" s="55" t="str">
        <f>IF(Input_Data!C70="",NA(),Input_Data!C70)</f>
        <v>Seis 4</v>
      </c>
      <c r="D70" s="56">
        <f>IF(Input_Data!D70="",NA(),CONVERT(Input_Data!D70,"ft","m"))</f>
        <v>422.75760000000002</v>
      </c>
      <c r="E70" s="57">
        <f>IF(Input_Data!E70="",NA(),CONVERT(Input_Data!E70,"lbm","g")/1000)</f>
        <v>187.78724118000002</v>
      </c>
      <c r="F70" s="58">
        <f>IF(Input_Data!F70="",NA(),CONVERT(Input_Data!F70,"in","m")*1000)</f>
        <v>4.0640000000000001</v>
      </c>
      <c r="G70" s="58">
        <f>IF(Input_Data!K70="",NA(),CONVERT(Input_Data!K70,"psi","Pa"))</f>
        <v>17.820380826648311</v>
      </c>
      <c r="H70" s="59">
        <f t="shared" si="0"/>
        <v>30.85022834421537</v>
      </c>
      <c r="I70" s="60">
        <f t="shared" si="1"/>
        <v>1.4892583828997532</v>
      </c>
      <c r="J70" s="59">
        <f t="shared" si="2"/>
        <v>0.60895369927586285</v>
      </c>
      <c r="K70" s="59">
        <f t="shared" si="3"/>
        <v>73.824876624206226</v>
      </c>
      <c r="L70" s="61">
        <f t="shared" si="4"/>
        <v>1.8682027298467847</v>
      </c>
      <c r="M70" s="61">
        <f t="shared" si="5"/>
        <v>1.2509169807976397</v>
      </c>
    </row>
    <row r="71" spans="1:13" s="62" customFormat="1" ht="18.75" customHeight="1" x14ac:dyDescent="0.3">
      <c r="A71" s="53">
        <v>65</v>
      </c>
      <c r="B71" s="54">
        <f>IF(Input_Data!B71="",NA(),Input_Data!B71)</f>
        <v>36741</v>
      </c>
      <c r="C71" s="55" t="str">
        <f>IF(Input_Data!C71="",NA(),Input_Data!C71)</f>
        <v>Seis 5 A</v>
      </c>
      <c r="D71" s="56">
        <f>IF(Input_Data!D71="",NA(),CONVERT(Input_Data!D71,"ft","m"))</f>
        <v>655.32000000000005</v>
      </c>
      <c r="E71" s="57">
        <f>IF(Input_Data!E71="",NA(),CONVERT(Input_Data!E71,"lbm","g")/1000)</f>
        <v>187.78724118000002</v>
      </c>
      <c r="F71" s="58">
        <f>IF(Input_Data!F71="",NA(),CONVERT(Input_Data!F71,"in","m")*1000)</f>
        <v>3.81</v>
      </c>
      <c r="G71" s="58">
        <f>IF(Input_Data!K71="",NA(),CONVERT(Input_Data!K71,"psi","Pa"))</f>
        <v>12.615863482345585</v>
      </c>
      <c r="H71" s="59">
        <f t="shared" si="0"/>
        <v>47.821190295647469</v>
      </c>
      <c r="I71" s="60">
        <f t="shared" si="1"/>
        <v>1.6796203817420736</v>
      </c>
      <c r="J71" s="59">
        <f t="shared" si="2"/>
        <v>0.58092497567561929</v>
      </c>
      <c r="K71" s="59">
        <f t="shared" si="3"/>
        <v>114.43654271236005</v>
      </c>
      <c r="L71" s="61">
        <f t="shared" si="4"/>
        <v>2.0585647286891051</v>
      </c>
      <c r="M71" s="61">
        <f t="shared" si="5"/>
        <v>1.1009169807976396</v>
      </c>
    </row>
    <row r="72" spans="1:13" s="62" customFormat="1" ht="18.75" customHeight="1" x14ac:dyDescent="0.3">
      <c r="A72" s="53">
        <v>66</v>
      </c>
      <c r="B72" s="54">
        <f>IF(Input_Data!B72="",NA(),Input_Data!B72)</f>
        <v>36741</v>
      </c>
      <c r="C72" s="55" t="str">
        <f>IF(Input_Data!C72="",NA(),Input_Data!C72)</f>
        <v>Seis 5</v>
      </c>
      <c r="D72" s="56">
        <f>IF(Input_Data!D72="",NA(),CONVERT(Input_Data!D72,"ft","m"))</f>
        <v>685.8</v>
      </c>
      <c r="E72" s="57">
        <f>IF(Input_Data!E72="",NA(),CONVERT(Input_Data!E72,"lbm","g")/1000)</f>
        <v>187.78724118000002</v>
      </c>
      <c r="F72" s="58">
        <f>IF(Input_Data!F72="",NA(),CONVERT(Input_Data!F72,"in","m")*1000)</f>
        <v>2.794</v>
      </c>
      <c r="G72" s="58">
        <f>IF(Input_Data!K72="",NA(),CONVERT(Input_Data!K72,"psi","Pa"))</f>
        <v>5.6352992183802844</v>
      </c>
      <c r="H72" s="59">
        <f t="shared" ref="H72:H135" si="6">IF(OR(D72="",E72=""),NA(),D72/(E72^0.5))</f>
        <v>50.045431704747351</v>
      </c>
      <c r="I72" s="60">
        <f t="shared" ref="I72:I135" si="7">IFERROR(LOG(H72),NA())</f>
        <v>1.6993644399378307</v>
      </c>
      <c r="J72" s="59">
        <f t="shared" ref="J72:J135" si="8">IFERROR(LOG(F72),NA())</f>
        <v>0.44622640177816308</v>
      </c>
      <c r="K72" s="59">
        <f t="shared" ref="K72:K135" si="9">IF(OR(D72="",E72=""),NA(),D72/(E72^(1/3)))</f>
        <v>119.75917260595818</v>
      </c>
      <c r="L72" s="61">
        <f t="shared" ref="L72:L135" si="10">IFERROR(LOG(K72),NA())</f>
        <v>2.0783087868848624</v>
      </c>
      <c r="M72" s="61">
        <f t="shared" ref="M72:M135" si="11">IFERROR(LOG(G72),NA())</f>
        <v>0.75091698079763947</v>
      </c>
    </row>
    <row r="73" spans="1:13" s="62" customFormat="1" ht="18.75" customHeight="1" x14ac:dyDescent="0.3">
      <c r="A73" s="53">
        <v>67</v>
      </c>
      <c r="B73" s="54">
        <f>IF(Input_Data!B73="",NA(),Input_Data!B73)</f>
        <v>36741</v>
      </c>
      <c r="C73" s="55" t="str">
        <f>IF(Input_Data!C73="",NA(),Input_Data!C73)</f>
        <v>Seis 6</v>
      </c>
      <c r="D73" s="56">
        <f>IF(Input_Data!D73="",NA(),CONVERT(Input_Data!D73,"ft","m"))</f>
        <v>838.2</v>
      </c>
      <c r="E73" s="57">
        <f>IF(Input_Data!E73="",NA(),CONVERT(Input_Data!E73,"lbm","g")/1000)</f>
        <v>187.78724118000002</v>
      </c>
      <c r="F73" s="58">
        <f>IF(Input_Data!F73="",NA(),CONVERT(Input_Data!F73,"in","m")*1000)</f>
        <v>2.54</v>
      </c>
      <c r="G73" s="58">
        <f>IF(Input_Data!K73="",NA(),CONVERT(Input_Data!K73,"psi","Pa"))</f>
        <v>5.6352992183802844</v>
      </c>
      <c r="H73" s="59">
        <f t="shared" si="6"/>
        <v>61.166638750246769</v>
      </c>
      <c r="I73" s="60">
        <f t="shared" si="7"/>
        <v>1.7865146156567311</v>
      </c>
      <c r="J73" s="59">
        <f t="shared" si="8"/>
        <v>0.40483371661993806</v>
      </c>
      <c r="K73" s="59">
        <f t="shared" si="9"/>
        <v>146.37232207394891</v>
      </c>
      <c r="L73" s="61">
        <f t="shared" si="10"/>
        <v>2.1654589626037626</v>
      </c>
      <c r="M73" s="61">
        <f t="shared" si="11"/>
        <v>0.75091698079763947</v>
      </c>
    </row>
    <row r="74" spans="1:13" s="62" customFormat="1" ht="18.75" customHeight="1" x14ac:dyDescent="0.3">
      <c r="A74" s="53">
        <v>68</v>
      </c>
      <c r="B74" s="54">
        <f>IF(Input_Data!B74="",NA(),Input_Data!B74)</f>
        <v>36742</v>
      </c>
      <c r="C74" s="55" t="str">
        <f>IF(Input_Data!C74="",NA(),Input_Data!C74)</f>
        <v>Seis 1</v>
      </c>
      <c r="D74" s="56">
        <f>IF(Input_Data!D74="",NA(),CONVERT(Input_Data!D74,"ft","m"))</f>
        <v>55.778399999999998</v>
      </c>
      <c r="E74" s="57">
        <f>IF(Input_Data!E74="",NA(),CONVERT(Input_Data!E74,"lbm","g")/1000)</f>
        <v>129.50062163500002</v>
      </c>
      <c r="F74" s="58">
        <f>IF(Input_Data!F74="",NA(),CONVERT(Input_Data!F74,"in","m")*1000)</f>
        <v>46.735999999999997</v>
      </c>
      <c r="G74" s="58">
        <f>IF(Input_Data!K74="",NA(),CONVERT(Input_Data!K74,"psi","Pa"))</f>
        <v>100.21136569454099</v>
      </c>
      <c r="H74" s="59">
        <f t="shared" si="6"/>
        <v>4.9015126275201517</v>
      </c>
      <c r="I74" s="60">
        <f t="shared" si="7"/>
        <v>0.69033012582641384</v>
      </c>
      <c r="J74" s="59">
        <f t="shared" si="8"/>
        <v>1.6696515396294744</v>
      </c>
      <c r="K74" s="59">
        <f t="shared" si="9"/>
        <v>11.024919692789569</v>
      </c>
      <c r="L74" s="61">
        <f t="shared" si="10"/>
        <v>1.0423754346836065</v>
      </c>
      <c r="M74" s="61">
        <f t="shared" si="11"/>
        <v>2.0009169807976397</v>
      </c>
    </row>
    <row r="75" spans="1:13" s="62" customFormat="1" ht="18.75" customHeight="1" x14ac:dyDescent="0.3">
      <c r="A75" s="53">
        <v>69</v>
      </c>
      <c r="B75" s="54">
        <f>IF(Input_Data!B75="",NA(),Input_Data!B75)</f>
        <v>36742</v>
      </c>
      <c r="C75" s="55" t="str">
        <f>IF(Input_Data!C75="",NA(),Input_Data!C75)</f>
        <v>Seis 1A</v>
      </c>
      <c r="D75" s="56">
        <f>IF(Input_Data!D75="",NA(),CONVERT(Input_Data!D75,"ft","m"))</f>
        <v>30.48</v>
      </c>
      <c r="E75" s="57">
        <f>IF(Input_Data!E75="",NA(),CONVERT(Input_Data!E75,"lbm","g")/1000)</f>
        <v>129.50062163500002</v>
      </c>
      <c r="F75" s="58">
        <f>IF(Input_Data!F75="",NA(),CONVERT(Input_Data!F75,"in","m")*1000)</f>
        <v>106.67999999999999</v>
      </c>
      <c r="G75" s="58">
        <f>IF(Input_Data!K75="",NA(),CONVERT(Input_Data!K75,"psi","Pa"))</f>
        <v>199.94796150188247</v>
      </c>
      <c r="H75" s="59">
        <f t="shared" si="6"/>
        <v>2.6784222008306839</v>
      </c>
      <c r="I75" s="60">
        <f t="shared" si="7"/>
        <v>0.42787903609598432</v>
      </c>
      <c r="J75" s="59">
        <f t="shared" si="8"/>
        <v>2.0280830070178384</v>
      </c>
      <c r="K75" s="59">
        <f t="shared" si="9"/>
        <v>6.0245462802128795</v>
      </c>
      <c r="L75" s="61">
        <f t="shared" si="10"/>
        <v>0.7799243449531772</v>
      </c>
      <c r="M75" s="61">
        <f t="shared" si="11"/>
        <v>2.3009169807976391</v>
      </c>
    </row>
    <row r="76" spans="1:13" s="62" customFormat="1" ht="18.75" customHeight="1" x14ac:dyDescent="0.3">
      <c r="A76" s="53">
        <v>70</v>
      </c>
      <c r="B76" s="54">
        <f>IF(Input_Data!B76="",NA(),Input_Data!B76)</f>
        <v>36742</v>
      </c>
      <c r="C76" s="55" t="str">
        <f>IF(Input_Data!C76="",NA(),Input_Data!C76)</f>
        <v>Seis 2</v>
      </c>
      <c r="D76" s="56">
        <f>IF(Input_Data!D76="",NA(),CONVERT(Input_Data!D76,"ft","m"))</f>
        <v>116.7384</v>
      </c>
      <c r="E76" s="57">
        <f>IF(Input_Data!E76="",NA(),CONVERT(Input_Data!E76,"lbm","g")/1000)</f>
        <v>129.50062163500002</v>
      </c>
      <c r="F76" s="58">
        <f>IF(Input_Data!F76="",NA(),CONVERT(Input_Data!F76,"in","m")*1000)</f>
        <v>32.512</v>
      </c>
      <c r="G76" s="58">
        <f>IF(Input_Data!K76="",NA(),CONVERT(Input_Data!K76,"psi","Pa"))</f>
        <v>50.224657150457986</v>
      </c>
      <c r="H76" s="59">
        <f t="shared" si="6"/>
        <v>10.25835702918152</v>
      </c>
      <c r="I76" s="60">
        <f t="shared" si="7"/>
        <v>1.0110778100646072</v>
      </c>
      <c r="J76" s="59">
        <f t="shared" si="8"/>
        <v>1.5120436862678064</v>
      </c>
      <c r="K76" s="59">
        <f t="shared" si="9"/>
        <v>23.074012253215329</v>
      </c>
      <c r="L76" s="61">
        <f t="shared" si="10"/>
        <v>1.3631231189217998</v>
      </c>
      <c r="M76" s="61">
        <f t="shared" si="11"/>
        <v>1.7009169807976401</v>
      </c>
    </row>
    <row r="77" spans="1:13" s="62" customFormat="1" ht="18.75" customHeight="1" x14ac:dyDescent="0.3">
      <c r="A77" s="53">
        <v>71</v>
      </c>
      <c r="B77" s="54">
        <f>IF(Input_Data!B77="",NA(),Input_Data!B77)</f>
        <v>36742</v>
      </c>
      <c r="C77" s="55" t="str">
        <f>IF(Input_Data!C77="",NA(),Input_Data!C77)</f>
        <v>Seis 3</v>
      </c>
      <c r="D77" s="56">
        <f>IF(Input_Data!D77="",NA(),CONVERT(Input_Data!D77,"ft","m"))</f>
        <v>161.54400000000001</v>
      </c>
      <c r="E77" s="57">
        <f>IF(Input_Data!E77="",NA(),CONVERT(Input_Data!E77,"lbm","g")/1000)</f>
        <v>129.50062163500002</v>
      </c>
      <c r="F77" s="58">
        <f>IF(Input_Data!F77="",NA(),CONVERT(Input_Data!F77,"in","m")*1000)</f>
        <v>11.683999999999999</v>
      </c>
      <c r="G77" s="58">
        <f>IF(Input_Data!K77="",NA(),CONVERT(Input_Data!K77,"psi","Pa"))</f>
        <v>25.171956977116178</v>
      </c>
      <c r="H77" s="59">
        <f t="shared" si="6"/>
        <v>14.195637664402627</v>
      </c>
      <c r="I77" s="60">
        <f t="shared" si="7"/>
        <v>1.1521549056967735</v>
      </c>
      <c r="J77" s="59">
        <f t="shared" si="8"/>
        <v>1.0675915483015121</v>
      </c>
      <c r="K77" s="59">
        <f t="shared" si="9"/>
        <v>31.930095285128264</v>
      </c>
      <c r="L77" s="61">
        <f t="shared" si="10"/>
        <v>1.5042002145539664</v>
      </c>
      <c r="M77" s="61">
        <f t="shared" si="11"/>
        <v>1.4009169807976389</v>
      </c>
    </row>
    <row r="78" spans="1:13" s="62" customFormat="1" ht="18.75" customHeight="1" x14ac:dyDescent="0.3">
      <c r="A78" s="53">
        <v>72</v>
      </c>
      <c r="B78" s="54">
        <f>IF(Input_Data!B78="",NA(),Input_Data!B78)</f>
        <v>36742</v>
      </c>
      <c r="C78" s="55" t="str">
        <f>IF(Input_Data!C78="",NA(),Input_Data!C78)</f>
        <v>Seis 4</v>
      </c>
      <c r="D78" s="56">
        <f>IF(Input_Data!D78="",NA(),CONVERT(Input_Data!D78,"ft","m"))</f>
        <v>400.20240000000001</v>
      </c>
      <c r="E78" s="57">
        <f>IF(Input_Data!E78="",NA(),CONVERT(Input_Data!E78,"lbm","g")/1000)</f>
        <v>129.50062163500002</v>
      </c>
      <c r="F78" s="58">
        <f>IF(Input_Data!F78="",NA(),CONVERT(Input_Data!F78,"in","m")*1000)</f>
        <v>4.0640000000000001</v>
      </c>
      <c r="G78" s="58">
        <f>IF(Input_Data!K78="",NA(),CONVERT(Input_Data!K78,"psi","Pa"))</f>
        <v>17.820380826648311</v>
      </c>
      <c r="H78" s="59">
        <f t="shared" si="6"/>
        <v>35.167683496906882</v>
      </c>
      <c r="I78" s="60">
        <f t="shared" si="7"/>
        <v>1.5461437621854637</v>
      </c>
      <c r="J78" s="59">
        <f t="shared" si="8"/>
        <v>0.60895369927586285</v>
      </c>
      <c r="K78" s="59">
        <f t="shared" si="9"/>
        <v>79.102292659195115</v>
      </c>
      <c r="L78" s="61">
        <f t="shared" si="10"/>
        <v>1.8981890710426566</v>
      </c>
      <c r="M78" s="61">
        <f t="shared" si="11"/>
        <v>1.2509169807976397</v>
      </c>
    </row>
    <row r="79" spans="1:13" s="62" customFormat="1" ht="18.75" customHeight="1" x14ac:dyDescent="0.3">
      <c r="A79" s="53">
        <v>73</v>
      </c>
      <c r="B79" s="54">
        <f>IF(Input_Data!B79="",NA(),Input_Data!B79)</f>
        <v>36742</v>
      </c>
      <c r="C79" s="55" t="str">
        <f>IF(Input_Data!C79="",NA(),Input_Data!C79)</f>
        <v>Seis 5 A</v>
      </c>
      <c r="D79" s="56">
        <f>IF(Input_Data!D79="",NA(),CONVERT(Input_Data!D79,"ft","m"))</f>
        <v>665.37840000000006</v>
      </c>
      <c r="E79" s="57">
        <f>IF(Input_Data!E79="",NA(),CONVERT(Input_Data!E79,"lbm","g")/1000)</f>
        <v>129.50062163500002</v>
      </c>
      <c r="F79" s="58">
        <f>IF(Input_Data!F79="",NA(),CONVERT(Input_Data!F79,"in","m")*1000)</f>
        <v>2.794</v>
      </c>
      <c r="G79" s="58">
        <f>IF(Input_Data!K79="",NA(),CONVERT(Input_Data!K79,"psi","Pa"))</f>
        <v>14.155231644145974</v>
      </c>
      <c r="H79" s="59">
        <f t="shared" si="6"/>
        <v>58.469956644133838</v>
      </c>
      <c r="I79" s="60">
        <f t="shared" si="7"/>
        <v>1.7669327718051235</v>
      </c>
      <c r="J79" s="59">
        <f t="shared" si="8"/>
        <v>0.44622640177816308</v>
      </c>
      <c r="K79" s="59">
        <f t="shared" si="9"/>
        <v>131.51584529704718</v>
      </c>
      <c r="L79" s="61">
        <f t="shared" si="10"/>
        <v>2.1189780806623166</v>
      </c>
      <c r="M79" s="61">
        <f t="shared" si="11"/>
        <v>1.1509169807976394</v>
      </c>
    </row>
    <row r="80" spans="1:13" s="62" customFormat="1" ht="18.75" customHeight="1" x14ac:dyDescent="0.3">
      <c r="A80" s="53">
        <v>74</v>
      </c>
      <c r="B80" s="54">
        <f>IF(Input_Data!B80="",NA(),Input_Data!B80)</f>
        <v>36742</v>
      </c>
      <c r="C80" s="55" t="str">
        <f>IF(Input_Data!C80="",NA(),Input_Data!C80)</f>
        <v>Seis 5</v>
      </c>
      <c r="D80" s="56">
        <f>IF(Input_Data!D80="",NA(),CONVERT(Input_Data!D80,"ft","m"))</f>
        <v>878.73839999999996</v>
      </c>
      <c r="E80" s="57">
        <f>IF(Input_Data!E80="",NA(),CONVERT(Input_Data!E80,"lbm","g")/1000)</f>
        <v>129.50062163500002</v>
      </c>
      <c r="F80" s="58">
        <f>IF(Input_Data!F80="",NA(),CONVERT(Input_Data!F80,"in","m")*1000)</f>
        <v>1.524</v>
      </c>
      <c r="G80" s="58">
        <f>IF(Input_Data!K80="",NA(),CONVERT(Input_Data!K80,"psi","Pa"))</f>
        <v>10.021136569454107</v>
      </c>
      <c r="H80" s="59">
        <f t="shared" si="6"/>
        <v>77.218912049948614</v>
      </c>
      <c r="I80" s="60">
        <f t="shared" si="7"/>
        <v>1.8877236784841922</v>
      </c>
      <c r="J80" s="59">
        <f t="shared" si="8"/>
        <v>0.18298496700358169</v>
      </c>
      <c r="K80" s="59">
        <f t="shared" si="9"/>
        <v>173.68766925853731</v>
      </c>
      <c r="L80" s="61">
        <f t="shared" si="10"/>
        <v>2.2397689873413849</v>
      </c>
      <c r="M80" s="61">
        <f t="shared" si="11"/>
        <v>1.0009169807976399</v>
      </c>
    </row>
    <row r="81" spans="1:13" s="62" customFormat="1" ht="18.75" customHeight="1" x14ac:dyDescent="0.3">
      <c r="A81" s="53">
        <v>75</v>
      </c>
      <c r="B81" s="54">
        <f>IF(Input_Data!B81="",NA(),Input_Data!B81)</f>
        <v>36742</v>
      </c>
      <c r="C81" s="55" t="str">
        <f>IF(Input_Data!C81="",NA(),Input_Data!C81)</f>
        <v>Seis 6</v>
      </c>
      <c r="D81" s="56">
        <f>IF(Input_Data!D81="",NA(),CONVERT(Input_Data!D81,"ft","m"))</f>
        <v>848.25840000000005</v>
      </c>
      <c r="E81" s="57">
        <f>IF(Input_Data!E81="",NA(),CONVERT(Input_Data!E81,"lbm","g")/1000)</f>
        <v>129.50062163500002</v>
      </c>
      <c r="F81" s="58">
        <f>IF(Input_Data!F81="",NA(),CONVERT(Input_Data!F81,"in","m")*1000)</f>
        <v>0.76200000000000001</v>
      </c>
      <c r="G81" s="58">
        <f>IF(Input_Data!K81="",NA(),CONVERT(Input_Data!K81,"psi","Pa"))</f>
        <v>10.021136569454107</v>
      </c>
      <c r="H81" s="59">
        <f t="shared" si="6"/>
        <v>74.540489849117947</v>
      </c>
      <c r="I81" s="60">
        <f t="shared" si="7"/>
        <v>1.8723922424300274</v>
      </c>
      <c r="J81" s="59">
        <f t="shared" si="8"/>
        <v>-0.1180450286603995</v>
      </c>
      <c r="K81" s="59">
        <f t="shared" si="9"/>
        <v>167.66312297832445</v>
      </c>
      <c r="L81" s="61">
        <f t="shared" si="10"/>
        <v>2.2244375512872203</v>
      </c>
      <c r="M81" s="61">
        <f t="shared" si="11"/>
        <v>1.0009169807976399</v>
      </c>
    </row>
    <row r="82" spans="1:13" s="62" customFormat="1" ht="18.75" customHeight="1" x14ac:dyDescent="0.3">
      <c r="A82" s="53">
        <v>76</v>
      </c>
      <c r="B82" s="54">
        <f>IF(Input_Data!B82="",NA(),Input_Data!B82)</f>
        <v>36746</v>
      </c>
      <c r="C82" s="55" t="str">
        <f>IF(Input_Data!C82="",NA(),Input_Data!C82)</f>
        <v>Seis 7 A</v>
      </c>
      <c r="D82" s="56">
        <f>IF(Input_Data!D82="",NA(),CONVERT(Input_Data!D82,"ft","m"))</f>
        <v>30.48</v>
      </c>
      <c r="E82" s="57">
        <f>IF(Input_Data!E82="",NA(),CONVERT(Input_Data!E82,"lbm","g")/1000)</f>
        <v>139.70644995999999</v>
      </c>
      <c r="F82" s="58">
        <f>IF(Input_Data!F82="",NA(),CONVERT(Input_Data!F82,"in","m")*1000)</f>
        <v>100.584</v>
      </c>
      <c r="G82" s="58">
        <f>IF(Input_Data!K82="",NA(),CONVERT(Input_Data!K82,"psi","Pa"))</f>
        <v>126.15863482345578</v>
      </c>
      <c r="H82" s="59">
        <f t="shared" si="6"/>
        <v>2.5787351149234032</v>
      </c>
      <c r="I82" s="60">
        <f t="shared" si="7"/>
        <v>0.41140673413669571</v>
      </c>
      <c r="J82" s="59">
        <f t="shared" si="8"/>
        <v>2.0025289025454502</v>
      </c>
      <c r="K82" s="59">
        <f t="shared" si="9"/>
        <v>5.8741199460533169</v>
      </c>
      <c r="L82" s="61">
        <f t="shared" si="10"/>
        <v>0.76894281031365153</v>
      </c>
      <c r="M82" s="61">
        <f t="shared" si="11"/>
        <v>2.1009169807976393</v>
      </c>
    </row>
    <row r="83" spans="1:13" s="62" customFormat="1" ht="18.75" customHeight="1" x14ac:dyDescent="0.3">
      <c r="A83" s="53">
        <v>77</v>
      </c>
      <c r="B83" s="54">
        <f>IF(Input_Data!B83="",NA(),Input_Data!B83)</f>
        <v>36746</v>
      </c>
      <c r="C83" s="55" t="str">
        <f>IF(Input_Data!C83="",NA(),Input_Data!C83)</f>
        <v>Seis 7</v>
      </c>
      <c r="D83" s="56">
        <f>IF(Input_Data!D83="",NA(),CONVERT(Input_Data!D83,"ft","m"))</f>
        <v>115.2144</v>
      </c>
      <c r="E83" s="57">
        <f>IF(Input_Data!E83="",NA(),CONVERT(Input_Data!E83,"lbm","g")/1000)</f>
        <v>139.70644995999999</v>
      </c>
      <c r="F83" s="58">
        <f>IF(Input_Data!F83="",NA(),CONVERT(Input_Data!F83,"in","m")*1000)</f>
        <v>79.248000000000005</v>
      </c>
      <c r="G83" s="58">
        <f>IF(Input_Data!K83="",NA(),CONVERT(Input_Data!K83,"psi","Pa"))</f>
        <v>28.243400259219452</v>
      </c>
      <c r="H83" s="59">
        <f t="shared" si="6"/>
        <v>9.7476187344104641</v>
      </c>
      <c r="I83" s="60">
        <f t="shared" si="7"/>
        <v>0.98889853397392102</v>
      </c>
      <c r="J83" s="59">
        <f t="shared" si="8"/>
        <v>1.8989883106383809</v>
      </c>
      <c r="K83" s="59">
        <f t="shared" si="9"/>
        <v>22.204173396081536</v>
      </c>
      <c r="L83" s="61">
        <f t="shared" si="10"/>
        <v>1.3464346101508768</v>
      </c>
      <c r="M83" s="61">
        <f t="shared" si="11"/>
        <v>1.4509169807976396</v>
      </c>
    </row>
    <row r="84" spans="1:13" s="62" customFormat="1" ht="18.75" customHeight="1" x14ac:dyDescent="0.3">
      <c r="A84" s="53">
        <v>78</v>
      </c>
      <c r="B84" s="54">
        <f>IF(Input_Data!B84="",NA(),Input_Data!B84)</f>
        <v>36746</v>
      </c>
      <c r="C84" s="55" t="str">
        <f>IF(Input_Data!C84="",NA(),Input_Data!C84)</f>
        <v>Seis 8</v>
      </c>
      <c r="D84" s="56">
        <f>IF(Input_Data!D84="",NA(),CONVERT(Input_Data!D84,"ft","m"))</f>
        <v>188.0616</v>
      </c>
      <c r="E84" s="57">
        <f>IF(Input_Data!E84="",NA(),CONVERT(Input_Data!E84,"lbm","g")/1000)</f>
        <v>139.70644995999999</v>
      </c>
      <c r="F84" s="58">
        <f>IF(Input_Data!F84="",NA(),CONVERT(Input_Data!F84,"in","m")*1000)</f>
        <v>36.576000000000001</v>
      </c>
      <c r="G84" s="58">
        <f>IF(Input_Data!K84="",NA(),CONVERT(Input_Data!K84,"psi","Pa"))</f>
        <v>19.994796150188247</v>
      </c>
      <c r="H84" s="59">
        <f t="shared" si="6"/>
        <v>15.910795659077397</v>
      </c>
      <c r="I84" s="60">
        <f t="shared" si="7"/>
        <v>1.2016918981699374</v>
      </c>
      <c r="J84" s="59">
        <f t="shared" si="8"/>
        <v>1.5631962087151878</v>
      </c>
      <c r="K84" s="59">
        <f t="shared" si="9"/>
        <v>36.243320067148964</v>
      </c>
      <c r="L84" s="61">
        <f t="shared" si="10"/>
        <v>1.5592279743468933</v>
      </c>
      <c r="M84" s="61">
        <f t="shared" si="11"/>
        <v>1.3009169807976388</v>
      </c>
    </row>
    <row r="85" spans="1:13" s="62" customFormat="1" ht="18.75" customHeight="1" x14ac:dyDescent="0.3">
      <c r="A85" s="53">
        <v>79</v>
      </c>
      <c r="B85" s="54">
        <f>IF(Input_Data!B85="",NA(),Input_Data!B85)</f>
        <v>36746</v>
      </c>
      <c r="C85" s="55" t="str">
        <f>IF(Input_Data!C85="",NA(),Input_Data!C85)</f>
        <v>Seis 9</v>
      </c>
      <c r="D85" s="56">
        <f>IF(Input_Data!D85="",NA(),CONVERT(Input_Data!D85,"ft","m"))</f>
        <v>400.81200000000001</v>
      </c>
      <c r="E85" s="57">
        <f>IF(Input_Data!E85="",NA(),CONVERT(Input_Data!E85,"lbm","g")/1000)</f>
        <v>139.70644995999999</v>
      </c>
      <c r="F85" s="58">
        <f>IF(Input_Data!F85="",NA(),CONVERT(Input_Data!F85,"in","m")*1000)</f>
        <v>12.954000000000001</v>
      </c>
      <c r="G85" s="58">
        <f>IF(Input_Data!K85="",NA(),CONVERT(Input_Data!K85,"psi","Pa"))</f>
        <v>10.021136569454107</v>
      </c>
      <c r="H85" s="59">
        <f t="shared" si="6"/>
        <v>33.910366761242749</v>
      </c>
      <c r="I85" s="60">
        <f t="shared" si="7"/>
        <v>1.5303324869624724</v>
      </c>
      <c r="J85" s="59">
        <f t="shared" si="8"/>
        <v>1.1124038927178745</v>
      </c>
      <c r="K85" s="59">
        <f t="shared" si="9"/>
        <v>77.244677290601118</v>
      </c>
      <c r="L85" s="61">
        <f t="shared" si="10"/>
        <v>1.8878685631394283</v>
      </c>
      <c r="M85" s="61">
        <f t="shared" si="11"/>
        <v>1.0009169807976399</v>
      </c>
    </row>
    <row r="86" spans="1:13" s="62" customFormat="1" ht="18.75" customHeight="1" x14ac:dyDescent="0.3">
      <c r="A86" s="53">
        <v>80</v>
      </c>
      <c r="B86" s="54">
        <f>IF(Input_Data!B86="",NA(),Input_Data!B86)</f>
        <v>36746</v>
      </c>
      <c r="C86" s="55" t="str">
        <f>IF(Input_Data!C86="",NA(),Input_Data!C86)</f>
        <v>Seis 10</v>
      </c>
      <c r="D86" s="56">
        <f>IF(Input_Data!D86="",NA(),CONVERT(Input_Data!D86,"ft","m"))</f>
        <v>580.94880000000001</v>
      </c>
      <c r="E86" s="57">
        <f>IF(Input_Data!E86="",NA(),CONVERT(Input_Data!E86,"lbm","g")/1000)</f>
        <v>139.70644995999999</v>
      </c>
      <c r="F86" s="58">
        <f>IF(Input_Data!F86="",NA(),CONVERT(Input_Data!F86,"in","m")*1000)</f>
        <v>10.414</v>
      </c>
      <c r="G86" s="58">
        <f>IF(Input_Data!K86="",NA(),CONVERT(Input_Data!K86,"psi","Pa"))</f>
        <v>10.021136569454107</v>
      </c>
      <c r="H86" s="59">
        <f t="shared" si="6"/>
        <v>49.150691290440065</v>
      </c>
      <c r="I86" s="60">
        <f t="shared" si="7"/>
        <v>1.6915296304390033</v>
      </c>
      <c r="J86" s="59">
        <f t="shared" si="8"/>
        <v>1.0176175733396735</v>
      </c>
      <c r="K86" s="59">
        <f t="shared" si="9"/>
        <v>111.96072617177622</v>
      </c>
      <c r="L86" s="61">
        <f t="shared" si="10"/>
        <v>2.0490657066159592</v>
      </c>
      <c r="M86" s="61">
        <f t="shared" si="11"/>
        <v>1.0009169807976399</v>
      </c>
    </row>
    <row r="87" spans="1:13" s="62" customFormat="1" ht="18.75" customHeight="1" x14ac:dyDescent="0.3">
      <c r="A87" s="53">
        <v>81</v>
      </c>
      <c r="B87" s="54">
        <f>IF(Input_Data!B87="",NA(),Input_Data!B87)</f>
        <v>36746</v>
      </c>
      <c r="C87" s="55" t="str">
        <f>IF(Input_Data!C87="",NA(),Input_Data!C87)</f>
        <v>Seis 11</v>
      </c>
      <c r="D87" s="56">
        <f>IF(Input_Data!D87="",NA(),CONVERT(Input_Data!D87,"ft","m"))</f>
        <v>748.58879999999999</v>
      </c>
      <c r="E87" s="57">
        <f>IF(Input_Data!E87="",NA(),CONVERT(Input_Data!E87,"lbm","g")/1000)</f>
        <v>139.70644995999999</v>
      </c>
      <c r="F87" s="58">
        <f>IF(Input_Data!F87="",NA(),CONVERT(Input_Data!F87,"in","m")*1000)</f>
        <v>4.8260000000000005</v>
      </c>
      <c r="G87" s="58">
        <f>IF(Input_Data!K87="",NA(),CONVERT(Input_Data!K87,"psi","Pa"))</f>
        <v>3.9894863253955477</v>
      </c>
      <c r="H87" s="59">
        <f t="shared" si="6"/>
        <v>63.333734422518781</v>
      </c>
      <c r="I87" s="60">
        <f t="shared" si="7"/>
        <v>1.8016350966058259</v>
      </c>
      <c r="J87" s="59">
        <f t="shared" si="8"/>
        <v>0.68358731757276703</v>
      </c>
      <c r="K87" s="59">
        <f t="shared" si="9"/>
        <v>144.26838587506944</v>
      </c>
      <c r="L87" s="61">
        <f t="shared" si="10"/>
        <v>2.1591711727827816</v>
      </c>
      <c r="M87" s="61">
        <f t="shared" si="11"/>
        <v>0.60091698079763922</v>
      </c>
    </row>
    <row r="88" spans="1:13" s="62" customFormat="1" ht="18.75" customHeight="1" x14ac:dyDescent="0.3">
      <c r="A88" s="53">
        <v>82</v>
      </c>
      <c r="B88" s="54">
        <f>IF(Input_Data!B88="",NA(),Input_Data!B88)</f>
        <v>36746</v>
      </c>
      <c r="C88" s="55" t="str">
        <f>IF(Input_Data!C88="",NA(),Input_Data!C88)</f>
        <v>Seis 12</v>
      </c>
      <c r="D88" s="56">
        <f>IF(Input_Data!D88="",NA(),CONVERT(Input_Data!D88,"ft","m"))</f>
        <v>931.46879999999999</v>
      </c>
      <c r="E88" s="57">
        <f>IF(Input_Data!E88="",NA(),CONVERT(Input_Data!E88,"lbm","g")/1000)</f>
        <v>139.70644995999999</v>
      </c>
      <c r="F88" s="58">
        <f>IF(Input_Data!F88="",NA(),CONVERT(Input_Data!F88,"in","m")*1000)</f>
        <v>4.8260000000000005</v>
      </c>
      <c r="G88" s="58">
        <f>IF(Input_Data!K88="",NA(),CONVERT(Input_Data!K88,"psi","Pa"))</f>
        <v>3.9894863253955477</v>
      </c>
      <c r="H88" s="59">
        <f t="shared" si="6"/>
        <v>78.806145112059198</v>
      </c>
      <c r="I88" s="60">
        <f t="shared" si="7"/>
        <v>1.896560084040348</v>
      </c>
      <c r="J88" s="59">
        <f t="shared" si="8"/>
        <v>0.68358731757276703</v>
      </c>
      <c r="K88" s="59">
        <f t="shared" si="9"/>
        <v>179.51310555138934</v>
      </c>
      <c r="L88" s="61">
        <f t="shared" si="10"/>
        <v>2.254096160217304</v>
      </c>
      <c r="M88" s="61">
        <f t="shared" si="11"/>
        <v>0.60091698079763922</v>
      </c>
    </row>
    <row r="89" spans="1:13" s="62" customFormat="1" ht="18.75" customHeight="1" x14ac:dyDescent="0.3">
      <c r="A89" s="53">
        <v>83</v>
      </c>
      <c r="B89" s="54">
        <f>IF(Input_Data!B89="",NA(),Input_Data!B89)</f>
        <v>36749</v>
      </c>
      <c r="C89" s="55" t="str">
        <f>IF(Input_Data!C89="",NA(),Input_Data!C89)</f>
        <v>Seis 7 A</v>
      </c>
      <c r="D89" s="56">
        <f>IF(Input_Data!D89="",NA(),CONVERT(Input_Data!D89,"ft","m"))</f>
        <v>30.48</v>
      </c>
      <c r="E89" s="57">
        <f>IF(Input_Data!E89="",NA(),CONVERT(Input_Data!E89,"lbm","g")/1000)</f>
        <v>156.94296001999999</v>
      </c>
      <c r="F89" s="58">
        <f>IF(Input_Data!F89="",NA(),CONVERT(Input_Data!F89,"in","m")*1000)</f>
        <v>129.03200000000001</v>
      </c>
      <c r="G89" s="58">
        <f>IF(Input_Data!K89="",NA(),CONVERT(Input_Data!K89,"psi","Pa"))</f>
        <v>141.55231644145965</v>
      </c>
      <c r="H89" s="59">
        <f t="shared" si="6"/>
        <v>2.4330108349931923</v>
      </c>
      <c r="I89" s="60">
        <f t="shared" si="7"/>
        <v>0.38614404299052957</v>
      </c>
      <c r="J89" s="59">
        <f t="shared" si="8"/>
        <v>2.1106974289038574</v>
      </c>
      <c r="K89" s="59">
        <f t="shared" si="9"/>
        <v>5.6506839355102461</v>
      </c>
      <c r="L89" s="61">
        <f t="shared" si="10"/>
        <v>0.75210101621620729</v>
      </c>
      <c r="M89" s="61">
        <f t="shared" si="11"/>
        <v>2.1509169807976392</v>
      </c>
    </row>
    <row r="90" spans="1:13" s="62" customFormat="1" ht="18.75" customHeight="1" x14ac:dyDescent="0.3">
      <c r="A90" s="53">
        <v>84</v>
      </c>
      <c r="B90" s="54">
        <f>IF(Input_Data!B90="",NA(),Input_Data!B90)</f>
        <v>36749</v>
      </c>
      <c r="C90" s="55" t="str">
        <f>IF(Input_Data!C90="",NA(),Input_Data!C90)</f>
        <v>Seis 7</v>
      </c>
      <c r="D90" s="56">
        <f>IF(Input_Data!D90="",NA(),CONVERT(Input_Data!D90,"ft","m"))</f>
        <v>115.2144</v>
      </c>
      <c r="E90" s="57">
        <f>IF(Input_Data!E90="",NA(),CONVERT(Input_Data!E90,"lbm","g")/1000)</f>
        <v>156.94296001999999</v>
      </c>
      <c r="F90" s="58">
        <f>IF(Input_Data!F90="",NA(),CONVERT(Input_Data!F90,"in","m")*1000)</f>
        <v>52.831999999999994</v>
      </c>
      <c r="G90" s="58">
        <f>IF(Input_Data!K90="",NA(),CONVERT(Input_Data!K90,"psi","Pa"))</f>
        <v>44.762772802791275</v>
      </c>
      <c r="H90" s="59">
        <f t="shared" si="6"/>
        <v>9.1967809562742655</v>
      </c>
      <c r="I90" s="60">
        <f t="shared" si="7"/>
        <v>0.96363584282775483</v>
      </c>
      <c r="J90" s="59">
        <f t="shared" si="8"/>
        <v>1.7228970515826996</v>
      </c>
      <c r="K90" s="59">
        <f t="shared" si="9"/>
        <v>21.359585276228728</v>
      </c>
      <c r="L90" s="61">
        <f t="shared" si="10"/>
        <v>1.3295928160534325</v>
      </c>
      <c r="M90" s="61">
        <f t="shared" si="11"/>
        <v>1.6509169807976387</v>
      </c>
    </row>
    <row r="91" spans="1:13" s="62" customFormat="1" ht="18.75" customHeight="1" x14ac:dyDescent="0.3">
      <c r="A91" s="53">
        <v>85</v>
      </c>
      <c r="B91" s="54">
        <f>IF(Input_Data!B91="",NA(),Input_Data!B91)</f>
        <v>36749</v>
      </c>
      <c r="C91" s="55" t="str">
        <f>IF(Input_Data!C91="",NA(),Input_Data!C91)</f>
        <v>Seis 8</v>
      </c>
      <c r="D91" s="56">
        <f>IF(Input_Data!D91="",NA(),CONVERT(Input_Data!D91,"ft","m"))</f>
        <v>188.0616</v>
      </c>
      <c r="E91" s="57">
        <f>IF(Input_Data!E91="",NA(),CONVERT(Input_Data!E91,"lbm","g")/1000)</f>
        <v>156.94296001999999</v>
      </c>
      <c r="F91" s="58">
        <f>IF(Input_Data!F91="",NA(),CONVERT(Input_Data!F91,"in","m")*1000)</f>
        <v>43.687999999999995</v>
      </c>
      <c r="G91" s="58">
        <f>IF(Input_Data!K91="",NA(),CONVERT(Input_Data!K91,"psi","Pa"))</f>
        <v>19.994796150188247</v>
      </c>
      <c r="H91" s="59">
        <f t="shared" si="6"/>
        <v>15.011676851907994</v>
      </c>
      <c r="I91" s="60">
        <f t="shared" si="7"/>
        <v>1.1764292070237712</v>
      </c>
      <c r="J91" s="59">
        <f t="shared" si="8"/>
        <v>1.640362163527487</v>
      </c>
      <c r="K91" s="59">
        <f t="shared" si="9"/>
        <v>34.864719882098214</v>
      </c>
      <c r="L91" s="61">
        <f t="shared" si="10"/>
        <v>1.542386180249449</v>
      </c>
      <c r="M91" s="61">
        <f t="shared" si="11"/>
        <v>1.3009169807976388</v>
      </c>
    </row>
    <row r="92" spans="1:13" s="62" customFormat="1" ht="18.75" customHeight="1" x14ac:dyDescent="0.3">
      <c r="A92" s="53">
        <v>86</v>
      </c>
      <c r="B92" s="54">
        <f>IF(Input_Data!B92="",NA(),Input_Data!B92)</f>
        <v>36749</v>
      </c>
      <c r="C92" s="55" t="str">
        <f>IF(Input_Data!C92="",NA(),Input_Data!C92)</f>
        <v>Seis 9</v>
      </c>
      <c r="D92" s="56">
        <f>IF(Input_Data!D92="",NA(),CONVERT(Input_Data!D92,"ft","m"))</f>
        <v>400.81200000000001</v>
      </c>
      <c r="E92" s="57">
        <f>IF(Input_Data!E92="",NA(),CONVERT(Input_Data!E92,"lbm","g")/1000)</f>
        <v>156.94296001999999</v>
      </c>
      <c r="F92" s="58">
        <f>IF(Input_Data!F92="",NA(),CONVERT(Input_Data!F92,"in","m")*1000)</f>
        <v>11.43</v>
      </c>
      <c r="G92" s="58">
        <f>IF(Input_Data!K92="",NA(),CONVERT(Input_Data!K92,"psi","Pa"))</f>
        <v>14.155231644145974</v>
      </c>
      <c r="H92" s="59">
        <f t="shared" si="6"/>
        <v>31.994092480160479</v>
      </c>
      <c r="I92" s="60">
        <f t="shared" si="7"/>
        <v>1.5050697958163062</v>
      </c>
      <c r="J92" s="59">
        <f t="shared" si="8"/>
        <v>1.0580462303952818</v>
      </c>
      <c r="K92" s="59">
        <f t="shared" si="9"/>
        <v>74.306493751959735</v>
      </c>
      <c r="L92" s="61">
        <f t="shared" si="10"/>
        <v>1.871026769041984</v>
      </c>
      <c r="M92" s="61">
        <f t="shared" si="11"/>
        <v>1.1509169807976394</v>
      </c>
    </row>
    <row r="93" spans="1:13" s="62" customFormat="1" ht="18.75" customHeight="1" x14ac:dyDescent="0.3">
      <c r="A93" s="53">
        <v>87</v>
      </c>
      <c r="B93" s="54">
        <f>IF(Input_Data!B93="",NA(),Input_Data!B93)</f>
        <v>36749</v>
      </c>
      <c r="C93" s="55" t="str">
        <f>IF(Input_Data!C93="",NA(),Input_Data!C93)</f>
        <v>Seis 10</v>
      </c>
      <c r="D93" s="56">
        <f>IF(Input_Data!D93="",NA(),CONVERT(Input_Data!D93,"ft","m"))</f>
        <v>580.94880000000001</v>
      </c>
      <c r="E93" s="57">
        <f>IF(Input_Data!E93="",NA(),CONVERT(Input_Data!E93,"lbm","g")/1000)</f>
        <v>156.94296001999999</v>
      </c>
      <c r="F93" s="58">
        <f>IF(Input_Data!F93="",NA(),CONVERT(Input_Data!F93,"in","m")*1000)</f>
        <v>10.414</v>
      </c>
      <c r="G93" s="58">
        <f>IF(Input_Data!K93="",NA(),CONVERT(Input_Data!K93,"psi","Pa"))</f>
        <v>12.615863482345585</v>
      </c>
      <c r="H93" s="59">
        <f t="shared" si="6"/>
        <v>46.373186514970243</v>
      </c>
      <c r="I93" s="60">
        <f t="shared" si="7"/>
        <v>1.6662669392928371</v>
      </c>
      <c r="J93" s="59">
        <f t="shared" si="8"/>
        <v>1.0176175733396735</v>
      </c>
      <c r="K93" s="59">
        <f t="shared" si="9"/>
        <v>107.70203581082529</v>
      </c>
      <c r="L93" s="61">
        <f t="shared" si="10"/>
        <v>2.0322239125185151</v>
      </c>
      <c r="M93" s="61">
        <f t="shared" si="11"/>
        <v>1.1009169807976396</v>
      </c>
    </row>
    <row r="94" spans="1:13" s="62" customFormat="1" ht="18.75" customHeight="1" x14ac:dyDescent="0.3">
      <c r="A94" s="53">
        <v>88</v>
      </c>
      <c r="B94" s="54">
        <f>IF(Input_Data!B94="",NA(),Input_Data!B94)</f>
        <v>36749</v>
      </c>
      <c r="C94" s="55" t="str">
        <f>IF(Input_Data!C94="",NA(),Input_Data!C94)</f>
        <v>Seis 11</v>
      </c>
      <c r="D94" s="56">
        <f>IF(Input_Data!D94="",NA(),CONVERT(Input_Data!D94,"ft","m"))</f>
        <v>751.33199999999999</v>
      </c>
      <c r="E94" s="57">
        <f>IF(Input_Data!E94="",NA(),CONVERT(Input_Data!E94,"lbm","g")/1000)</f>
        <v>156.94296001999999</v>
      </c>
      <c r="F94" s="58">
        <f>IF(Input_Data!F94="",NA(),CONVERT(Input_Data!F94,"in","m")*1000)</f>
        <v>4.3179999999999996</v>
      </c>
      <c r="G94" s="58">
        <f>IF(Input_Data!K94="",NA(),CONVERT(Input_Data!K94,"psi","Pa"))</f>
        <v>5.6352992183802844</v>
      </c>
      <c r="H94" s="59">
        <f t="shared" si="6"/>
        <v>59.973717082582183</v>
      </c>
      <c r="I94" s="60">
        <f t="shared" si="7"/>
        <v>1.7779609666037783</v>
      </c>
      <c r="J94" s="59">
        <f t="shared" si="8"/>
        <v>0.63528263799821194</v>
      </c>
      <c r="K94" s="59">
        <f t="shared" si="9"/>
        <v>139.28935901032756</v>
      </c>
      <c r="L94" s="61">
        <f t="shared" si="10"/>
        <v>2.1439179398294561</v>
      </c>
      <c r="M94" s="61">
        <f t="shared" si="11"/>
        <v>0.75091698079763947</v>
      </c>
    </row>
    <row r="95" spans="1:13" s="62" customFormat="1" ht="18.75" customHeight="1" x14ac:dyDescent="0.3">
      <c r="A95" s="53">
        <v>89</v>
      </c>
      <c r="B95" s="54">
        <f>IF(Input_Data!B95="",NA(),Input_Data!B95)</f>
        <v>36749</v>
      </c>
      <c r="C95" s="55" t="str">
        <f>IF(Input_Data!C95="",NA(),Input_Data!C95)</f>
        <v>Seis 12</v>
      </c>
      <c r="D95" s="56">
        <f>IF(Input_Data!D95="",NA(),CONVERT(Input_Data!D95,"ft","m"))</f>
        <v>934.21199999999999</v>
      </c>
      <c r="E95" s="57">
        <f>IF(Input_Data!E95="",NA(),CONVERT(Input_Data!E95,"lbm","g")/1000)</f>
        <v>156.94296001999999</v>
      </c>
      <c r="F95" s="58">
        <f>IF(Input_Data!F95="",NA(),CONVERT(Input_Data!F95,"in","m")*1000)</f>
        <v>4.5720000000000001</v>
      </c>
      <c r="G95" s="58">
        <f>IF(Input_Data!K95="",NA(),CONVERT(Input_Data!K95,"psi","Pa"))</f>
        <v>3.9894863253955477</v>
      </c>
      <c r="H95" s="59">
        <f t="shared" si="6"/>
        <v>74.571782092541341</v>
      </c>
      <c r="I95" s="60">
        <f t="shared" si="7"/>
        <v>1.8725745218449634</v>
      </c>
      <c r="J95" s="59">
        <f t="shared" si="8"/>
        <v>0.66010622172324418</v>
      </c>
      <c r="K95" s="59">
        <f t="shared" si="9"/>
        <v>173.19346262338902</v>
      </c>
      <c r="L95" s="61">
        <f t="shared" si="10"/>
        <v>2.238531495070641</v>
      </c>
      <c r="M95" s="61">
        <f t="shared" si="11"/>
        <v>0.60091698079763922</v>
      </c>
    </row>
    <row r="96" spans="1:13" s="62" customFormat="1" ht="18.75" customHeight="1" x14ac:dyDescent="0.3">
      <c r="A96" s="53">
        <v>90</v>
      </c>
      <c r="B96" s="54">
        <f>IF(Input_Data!B96="",NA(),Input_Data!B96)</f>
        <v>36749</v>
      </c>
      <c r="C96" s="55" t="str">
        <f>IF(Input_Data!C96="",NA(),Input_Data!C96)</f>
        <v>Seis 13</v>
      </c>
      <c r="D96" s="56">
        <f>IF(Input_Data!D96="",NA(),CONVERT(Input_Data!D96,"ft","m"))</f>
        <v>970.78800000000001</v>
      </c>
      <c r="E96" s="57">
        <f>IF(Input_Data!E96="",NA(),CONVERT(Input_Data!E96,"lbm","g")/1000)</f>
        <v>156.94296001999999</v>
      </c>
      <c r="F96" s="58">
        <f>IF(Input_Data!F96="",NA(),CONVERT(Input_Data!F96,"in","m")*1000)</f>
        <v>3.81</v>
      </c>
      <c r="G96" s="58">
        <f>IF(Input_Data!K96="",NA(),CONVERT(Input_Data!K96,"psi","Pa"))</f>
        <v>3.9894863253955477</v>
      </c>
      <c r="H96" s="59">
        <f t="shared" si="6"/>
        <v>77.491395094533175</v>
      </c>
      <c r="I96" s="60">
        <f t="shared" si="7"/>
        <v>1.8892534796618987</v>
      </c>
      <c r="J96" s="59">
        <f t="shared" si="8"/>
        <v>0.58092497567561929</v>
      </c>
      <c r="K96" s="59">
        <f t="shared" si="9"/>
        <v>179.97428334600133</v>
      </c>
      <c r="L96" s="61">
        <f t="shared" si="10"/>
        <v>2.2552104528875767</v>
      </c>
      <c r="M96" s="61">
        <f t="shared" si="11"/>
        <v>0.60091698079763922</v>
      </c>
    </row>
    <row r="97" spans="1:13" s="62" customFormat="1" ht="18.75" customHeight="1" x14ac:dyDescent="0.3">
      <c r="A97" s="53">
        <v>91</v>
      </c>
      <c r="B97" s="54">
        <f>IF(Input_Data!B97="",NA(),Input_Data!B97)</f>
        <v>36754</v>
      </c>
      <c r="C97" s="55" t="str">
        <f>IF(Input_Data!C97="",NA(),Input_Data!C97)</f>
        <v>Seis 7 A</v>
      </c>
      <c r="D97" s="56">
        <f>IF(Input_Data!D97="",NA(),CONVERT(Input_Data!D97,"ft","m"))</f>
        <v>30.48</v>
      </c>
      <c r="E97" s="57">
        <f>IF(Input_Data!E97="",NA(),CONVERT(Input_Data!E97,"lbm","g")/1000)</f>
        <v>157.169756205</v>
      </c>
      <c r="F97" s="58">
        <f>IF(Input_Data!F97="",NA(),CONVERT(Input_Data!F97,"in","m")*1000)</f>
        <v>129.03200000000001</v>
      </c>
      <c r="G97" s="58">
        <f>IF(Input_Data!K97="",NA(),CONVERT(Input_Data!K97,"psi","Pa"))</f>
        <v>141.55231644145965</v>
      </c>
      <c r="H97" s="59">
        <f t="shared" si="6"/>
        <v>2.4312547821949457</v>
      </c>
      <c r="I97" s="60">
        <f t="shared" si="7"/>
        <v>0.38583047291300504</v>
      </c>
      <c r="J97" s="59">
        <f t="shared" si="8"/>
        <v>2.1106974289038574</v>
      </c>
      <c r="K97" s="59">
        <f t="shared" si="9"/>
        <v>5.6479646454197141</v>
      </c>
      <c r="L97" s="61">
        <f t="shared" si="10"/>
        <v>0.75189196949785775</v>
      </c>
      <c r="M97" s="61">
        <f t="shared" si="11"/>
        <v>2.1509169807976392</v>
      </c>
    </row>
    <row r="98" spans="1:13" s="62" customFormat="1" ht="18.75" customHeight="1" x14ac:dyDescent="0.3">
      <c r="A98" s="53">
        <v>92</v>
      </c>
      <c r="B98" s="54">
        <f>IF(Input_Data!B98="",NA(),Input_Data!B98)</f>
        <v>36754</v>
      </c>
      <c r="C98" s="55" t="str">
        <f>IF(Input_Data!C98="",NA(),Input_Data!C98)</f>
        <v>Seis 7</v>
      </c>
      <c r="D98" s="56">
        <f>IF(Input_Data!D98="",NA(),CONVERT(Input_Data!D98,"ft","m"))</f>
        <v>96.621600000000001</v>
      </c>
      <c r="E98" s="57">
        <f>IF(Input_Data!E98="",NA(),CONVERT(Input_Data!E98,"lbm","g")/1000)</f>
        <v>157.169756205</v>
      </c>
      <c r="F98" s="58">
        <f>IF(Input_Data!F98="",NA(),CONVERT(Input_Data!F98,"in","m")*1000)</f>
        <v>77.216000000000008</v>
      </c>
      <c r="G98" s="58">
        <f>IF(Input_Data!K98="",NA(),CONVERT(Input_Data!K98,"psi","Pa"))</f>
        <v>44.762772802791275</v>
      </c>
      <c r="H98" s="59">
        <f t="shared" si="6"/>
        <v>7.7070776595579771</v>
      </c>
      <c r="I98" s="60">
        <f t="shared" si="7"/>
        <v>0.88688973513075653</v>
      </c>
      <c r="J98" s="59">
        <f t="shared" si="8"/>
        <v>1.8877073002286919</v>
      </c>
      <c r="K98" s="59">
        <f t="shared" si="9"/>
        <v>17.904047925980493</v>
      </c>
      <c r="L98" s="61">
        <f t="shared" si="10"/>
        <v>1.2529512317156091</v>
      </c>
      <c r="M98" s="61">
        <f t="shared" si="11"/>
        <v>1.6509169807976387</v>
      </c>
    </row>
    <row r="99" spans="1:13" s="62" customFormat="1" ht="18.75" customHeight="1" x14ac:dyDescent="0.3">
      <c r="A99" s="53">
        <v>93</v>
      </c>
      <c r="B99" s="54">
        <f>IF(Input_Data!B99="",NA(),Input_Data!B99)</f>
        <v>36754</v>
      </c>
      <c r="C99" s="55" t="str">
        <f>IF(Input_Data!C99="",NA(),Input_Data!C99)</f>
        <v>Seis 8</v>
      </c>
      <c r="D99" s="56">
        <f>IF(Input_Data!D99="",NA(),CONVERT(Input_Data!D99,"ft","m"))</f>
        <v>169.46879999999999</v>
      </c>
      <c r="E99" s="57">
        <f>IF(Input_Data!E99="",NA(),CONVERT(Input_Data!E99,"lbm","g")/1000)</f>
        <v>157.169756205</v>
      </c>
      <c r="F99" s="58">
        <f>IF(Input_Data!F99="",NA(),CONVERT(Input_Data!F99,"in","m")*1000)</f>
        <v>45.72</v>
      </c>
      <c r="G99" s="58">
        <f>IF(Input_Data!K99="",NA(),CONVERT(Input_Data!K99,"psi","Pa"))</f>
        <v>35.556334301805308</v>
      </c>
      <c r="H99" s="59">
        <f t="shared" si="6"/>
        <v>13.517776589003896</v>
      </c>
      <c r="I99" s="60">
        <f t="shared" si="7"/>
        <v>1.1309052644950623</v>
      </c>
      <c r="J99" s="59">
        <f t="shared" si="8"/>
        <v>1.6601062217232441</v>
      </c>
      <c r="K99" s="59">
        <f t="shared" si="9"/>
        <v>31.402683428533607</v>
      </c>
      <c r="L99" s="61">
        <f t="shared" si="10"/>
        <v>1.4969667610799151</v>
      </c>
      <c r="M99" s="61">
        <f t="shared" si="11"/>
        <v>1.5509169807976393</v>
      </c>
    </row>
    <row r="100" spans="1:13" s="62" customFormat="1" ht="18.75" customHeight="1" x14ac:dyDescent="0.3">
      <c r="A100" s="53">
        <v>94</v>
      </c>
      <c r="B100" s="54">
        <f>IF(Input_Data!B100="",NA(),Input_Data!B100)</f>
        <v>36754</v>
      </c>
      <c r="C100" s="55" t="str">
        <f>IF(Input_Data!C100="",NA(),Input_Data!C100)</f>
        <v>Seis 9</v>
      </c>
      <c r="D100" s="56">
        <f>IF(Input_Data!D100="",NA(),CONVERT(Input_Data!D100,"ft","m"))</f>
        <v>382.2192</v>
      </c>
      <c r="E100" s="57">
        <f>IF(Input_Data!E100="",NA(),CONVERT(Input_Data!E100,"lbm","g")/1000)</f>
        <v>157.169756205</v>
      </c>
      <c r="F100" s="58">
        <f>IF(Input_Data!F100="",NA(),CONVERT(Input_Data!F100,"in","m")*1000)</f>
        <v>12.954000000000001</v>
      </c>
      <c r="G100" s="58">
        <f>IF(Input_Data!K100="",NA(),CONVERT(Input_Data!K100,"psi","Pa"))</f>
        <v>22.434530270517083</v>
      </c>
      <c r="H100" s="59">
        <f t="shared" si="6"/>
        <v>30.487934968724616</v>
      </c>
      <c r="I100" s="60">
        <f t="shared" si="7"/>
        <v>1.4841280094077027</v>
      </c>
      <c r="J100" s="59">
        <f t="shared" si="8"/>
        <v>1.1124038927178745</v>
      </c>
      <c r="K100" s="59">
        <f t="shared" si="9"/>
        <v>70.825476653563214</v>
      </c>
      <c r="L100" s="61">
        <f t="shared" si="10"/>
        <v>1.8501895059925553</v>
      </c>
      <c r="M100" s="61">
        <f t="shared" si="11"/>
        <v>1.3509169807976391</v>
      </c>
    </row>
    <row r="101" spans="1:13" s="62" customFormat="1" ht="18.75" customHeight="1" x14ac:dyDescent="0.3">
      <c r="A101" s="53">
        <v>95</v>
      </c>
      <c r="B101" s="54">
        <f>IF(Input_Data!B101="",NA(),Input_Data!B101)</f>
        <v>36754</v>
      </c>
      <c r="C101" s="55" t="str">
        <f>IF(Input_Data!C101="",NA(),Input_Data!C101)</f>
        <v>Seis 10</v>
      </c>
      <c r="D101" s="56">
        <f>IF(Input_Data!D101="",NA(),CONVERT(Input_Data!D101,"ft","m"))</f>
        <v>562.35599999999999</v>
      </c>
      <c r="E101" s="57">
        <f>IF(Input_Data!E101="",NA(),CONVERT(Input_Data!E101,"lbm","g")/1000)</f>
        <v>157.169756205</v>
      </c>
      <c r="F101" s="58">
        <f>IF(Input_Data!F101="",NA(),CONVERT(Input_Data!F101,"in","m")*1000)</f>
        <v>9.9060000000000006</v>
      </c>
      <c r="G101" s="58">
        <f>IF(Input_Data!K101="",NA(),CONVERT(Input_Data!K101,"psi","Pa"))</f>
        <v>17.820380826648311</v>
      </c>
      <c r="H101" s="59">
        <f t="shared" si="6"/>
        <v>44.856650731496742</v>
      </c>
      <c r="I101" s="60">
        <f t="shared" si="7"/>
        <v>1.6518268434080843</v>
      </c>
      <c r="J101" s="59">
        <f t="shared" si="8"/>
        <v>0.99589832364643727</v>
      </c>
      <c r="K101" s="59">
        <f t="shared" si="9"/>
        <v>104.20494770799372</v>
      </c>
      <c r="L101" s="61">
        <f t="shared" si="10"/>
        <v>2.017888339992937</v>
      </c>
      <c r="M101" s="61">
        <f t="shared" si="11"/>
        <v>1.2509169807976397</v>
      </c>
    </row>
    <row r="102" spans="1:13" s="62" customFormat="1" ht="18.75" customHeight="1" x14ac:dyDescent="0.3">
      <c r="A102" s="53">
        <v>96</v>
      </c>
      <c r="B102" s="54">
        <f>IF(Input_Data!B102="",NA(),Input_Data!B102)</f>
        <v>36754</v>
      </c>
      <c r="C102" s="55" t="str">
        <f>IF(Input_Data!C102="",NA(),Input_Data!C102)</f>
        <v>Seis 11</v>
      </c>
      <c r="D102" s="56">
        <f>IF(Input_Data!D102="",NA(),CONVERT(Input_Data!D102,"ft","m"))</f>
        <v>729.99599999999998</v>
      </c>
      <c r="E102" s="57">
        <f>IF(Input_Data!E102="",NA(),CONVERT(Input_Data!E102,"lbm","g")/1000)</f>
        <v>157.169756205</v>
      </c>
      <c r="F102" s="58">
        <f>IF(Input_Data!F102="",NA(),CONVERT(Input_Data!F102,"in","m")*1000)</f>
        <v>5.5880000000000001</v>
      </c>
      <c r="G102" s="58">
        <f>IF(Input_Data!K102="",NA(),CONVERT(Input_Data!K102,"psi","Pa"))</f>
        <v>7.9600717211454013</v>
      </c>
      <c r="H102" s="59">
        <f t="shared" si="6"/>
        <v>58.228552033568945</v>
      </c>
      <c r="I102" s="60">
        <f t="shared" si="7"/>
        <v>1.7651359906635871</v>
      </c>
      <c r="J102" s="59">
        <f t="shared" si="8"/>
        <v>0.74725639744214434</v>
      </c>
      <c r="K102" s="59">
        <f t="shared" si="9"/>
        <v>135.26875325780213</v>
      </c>
      <c r="L102" s="61">
        <f t="shared" si="10"/>
        <v>2.1311974872484396</v>
      </c>
      <c r="M102" s="61">
        <f t="shared" si="11"/>
        <v>0.90091698079763882</v>
      </c>
    </row>
    <row r="103" spans="1:13" s="62" customFormat="1" ht="18.75" customHeight="1" x14ac:dyDescent="0.3">
      <c r="A103" s="53">
        <v>97</v>
      </c>
      <c r="B103" s="54">
        <f>IF(Input_Data!B103="",NA(),Input_Data!B103)</f>
        <v>36754</v>
      </c>
      <c r="C103" s="55" t="str">
        <f>IF(Input_Data!C103="",NA(),Input_Data!C103)</f>
        <v>Seis 12</v>
      </c>
      <c r="D103" s="56">
        <f>IF(Input_Data!D103="",NA(),CONVERT(Input_Data!D103,"ft","m"))</f>
        <v>915.61919999999998</v>
      </c>
      <c r="E103" s="57">
        <f>IF(Input_Data!E103="",NA(),CONVERT(Input_Data!E103,"lbm","g")/1000)</f>
        <v>157.169756205</v>
      </c>
      <c r="F103" s="58">
        <f>IF(Input_Data!F103="",NA(),CONVERT(Input_Data!F103,"in","m")*1000)</f>
        <v>5.3340000000000005</v>
      </c>
      <c r="G103" s="58">
        <f>IF(Input_Data!K103="",NA(),CONVERT(Input_Data!K103,"psi","Pa"))</f>
        <v>5.6352992183802844</v>
      </c>
      <c r="H103" s="59">
        <f t="shared" si="6"/>
        <v>73.034893657136166</v>
      </c>
      <c r="I103" s="60">
        <f t="shared" si="7"/>
        <v>1.8635304012451359</v>
      </c>
      <c r="J103" s="59">
        <f t="shared" si="8"/>
        <v>0.72705301135385736</v>
      </c>
      <c r="K103" s="59">
        <f t="shared" si="9"/>
        <v>169.66485794840821</v>
      </c>
      <c r="L103" s="61">
        <f t="shared" si="10"/>
        <v>2.2295918978299887</v>
      </c>
      <c r="M103" s="61">
        <f t="shared" si="11"/>
        <v>0.75091698079763947</v>
      </c>
    </row>
    <row r="104" spans="1:13" s="62" customFormat="1" ht="18.75" customHeight="1" x14ac:dyDescent="0.3">
      <c r="A104" s="53">
        <v>98</v>
      </c>
      <c r="B104" s="54">
        <f>IF(Input_Data!B104="",NA(),Input_Data!B104)</f>
        <v>36754</v>
      </c>
      <c r="C104" s="55" t="str">
        <f>IF(Input_Data!C104="",NA(),Input_Data!C104)</f>
        <v>Seis 13</v>
      </c>
      <c r="D104" s="56">
        <f>IF(Input_Data!D104="",NA(),CONVERT(Input_Data!D104,"ft","m"))</f>
        <v>1173.1751999999999</v>
      </c>
      <c r="E104" s="57">
        <f>IF(Input_Data!E104="",NA(),CONVERT(Input_Data!E104,"lbm","g")/1000)</f>
        <v>157.169756205</v>
      </c>
      <c r="F104" s="58">
        <f>IF(Input_Data!F104="",NA(),CONVERT(Input_Data!F104,"in","m")*1000)</f>
        <v>2.286</v>
      </c>
      <c r="G104" s="58">
        <f>IF(Input_Data!K104="",NA(),CONVERT(Input_Data!K104,"psi","Pa"))</f>
        <v>3.9894863253955477</v>
      </c>
      <c r="H104" s="59">
        <f t="shared" si="6"/>
        <v>93.578996566683443</v>
      </c>
      <c r="I104" s="60">
        <f t="shared" si="7"/>
        <v>1.9711783840075958</v>
      </c>
      <c r="J104" s="59">
        <f t="shared" si="8"/>
        <v>0.35907622605926293</v>
      </c>
      <c r="K104" s="59">
        <f t="shared" si="9"/>
        <v>217.39015920220479</v>
      </c>
      <c r="L104" s="61">
        <f t="shared" si="10"/>
        <v>2.3372398805924486</v>
      </c>
      <c r="M104" s="61">
        <f t="shared" si="11"/>
        <v>0.60091698079763922</v>
      </c>
    </row>
    <row r="105" spans="1:13" s="62" customFormat="1" ht="18.75" customHeight="1" x14ac:dyDescent="0.3">
      <c r="A105" s="53">
        <v>99</v>
      </c>
      <c r="B105" s="54">
        <f>IF(Input_Data!B105="",NA(),Input_Data!B105)</f>
        <v>37116</v>
      </c>
      <c r="C105" s="55" t="str">
        <f>IF(Input_Data!C105="",NA(),Input_Data!C105)</f>
        <v>Seis 1A</v>
      </c>
      <c r="D105" s="56">
        <f>IF(Input_Data!D105="",NA(),CONVERT(Input_Data!D105,"ft","m"))</f>
        <v>15.24</v>
      </c>
      <c r="E105" s="57">
        <f>IF(Input_Data!E105="",NA(),CONVERT(Input_Data!E105,"lbm","g")/1000)</f>
        <v>177.80820904000001</v>
      </c>
      <c r="F105" s="58">
        <f>IF(Input_Data!F105="",NA(),CONVERT(Input_Data!F105,"in","m")*1000)</f>
        <v>260.096</v>
      </c>
      <c r="G105" s="58">
        <f>IF(Input_Data!K105="",NA(),CONVERT(Input_Data!K105,"psi","Pa"))</f>
        <v>158.82431129650914</v>
      </c>
      <c r="H105" s="59">
        <f t="shared" si="6"/>
        <v>1.1429021855591484</v>
      </c>
      <c r="I105" s="60">
        <f t="shared" si="7"/>
        <v>5.8009063212707948E-2</v>
      </c>
      <c r="J105" s="59">
        <f t="shared" si="8"/>
        <v>2.4151336732597501</v>
      </c>
      <c r="K105" s="59">
        <f t="shared" si="9"/>
        <v>2.7101980666915635</v>
      </c>
      <c r="L105" s="61">
        <f t="shared" si="10"/>
        <v>0.43300103114299915</v>
      </c>
      <c r="M105" s="61">
        <f t="shared" si="11"/>
        <v>2.2009169807976394</v>
      </c>
    </row>
    <row r="106" spans="1:13" s="62" customFormat="1" ht="18.75" customHeight="1" x14ac:dyDescent="0.3">
      <c r="A106" s="53">
        <v>100</v>
      </c>
      <c r="B106" s="54">
        <f>IF(Input_Data!B106="",NA(),Input_Data!B106)</f>
        <v>37116</v>
      </c>
      <c r="C106" s="55" t="str">
        <f>IF(Input_Data!C106="",NA(),Input_Data!C106)</f>
        <v>Seis 2</v>
      </c>
      <c r="D106" s="56">
        <f>IF(Input_Data!D106="",NA(),CONVERT(Input_Data!D106,"ft","m"))</f>
        <v>96.621600000000001</v>
      </c>
      <c r="E106" s="57">
        <f>IF(Input_Data!E106="",NA(),CONVERT(Input_Data!E106,"lbm","g")/1000)</f>
        <v>177.80820904000001</v>
      </c>
      <c r="F106" s="58">
        <f>IF(Input_Data!F106="",NA(),CONVERT(Input_Data!F106,"in","m")*1000)</f>
        <v>28.701999999999998</v>
      </c>
      <c r="G106" s="58">
        <f>IF(Input_Data!K106="",NA(),CONVERT(Input_Data!K106,"psi","Pa"))</f>
        <v>50.224657150457986</v>
      </c>
      <c r="H106" s="59">
        <f t="shared" si="6"/>
        <v>7.2459998564450014</v>
      </c>
      <c r="I106" s="60">
        <f t="shared" si="7"/>
        <v>0.86009832109444073</v>
      </c>
      <c r="J106" s="59">
        <f t="shared" si="8"/>
        <v>1.4579121601033578</v>
      </c>
      <c r="K106" s="59">
        <f t="shared" si="9"/>
        <v>17.182655742824512</v>
      </c>
      <c r="L106" s="61">
        <f t="shared" si="10"/>
        <v>1.2350902890247317</v>
      </c>
      <c r="M106" s="61">
        <f t="shared" si="11"/>
        <v>1.7009169807976401</v>
      </c>
    </row>
    <row r="107" spans="1:13" s="62" customFormat="1" ht="18.75" customHeight="1" x14ac:dyDescent="0.3">
      <c r="A107" s="53">
        <v>101</v>
      </c>
      <c r="B107" s="54">
        <f>IF(Input_Data!B107="",NA(),Input_Data!B107)</f>
        <v>37116</v>
      </c>
      <c r="C107" s="55" t="str">
        <f>IF(Input_Data!C107="",NA(),Input_Data!C107)</f>
        <v>Seis 3</v>
      </c>
      <c r="D107" s="56">
        <f>IF(Input_Data!D107="",NA(),CONVERT(Input_Data!D107,"ft","m"))</f>
        <v>209.09280000000001</v>
      </c>
      <c r="E107" s="57">
        <f>IF(Input_Data!E107="",NA(),CONVERT(Input_Data!E107,"lbm","g")/1000)</f>
        <v>177.80820904000001</v>
      </c>
      <c r="F107" s="58">
        <f>IF(Input_Data!F107="",NA(),CONVERT(Input_Data!F107,"in","m")*1000)</f>
        <v>12.192</v>
      </c>
      <c r="G107" s="58">
        <f>IF(Input_Data!K107="",NA(),CONVERT(Input_Data!K107,"psi","Pa"))</f>
        <v>15.882431129650927</v>
      </c>
      <c r="H107" s="59">
        <f t="shared" si="6"/>
        <v>15.680617985871518</v>
      </c>
      <c r="I107" s="60">
        <f t="shared" si="7"/>
        <v>1.195363174583441</v>
      </c>
      <c r="J107" s="59">
        <f t="shared" si="8"/>
        <v>1.0860749539955252</v>
      </c>
      <c r="K107" s="59">
        <f t="shared" si="9"/>
        <v>37.183917475008251</v>
      </c>
      <c r="L107" s="61">
        <f t="shared" si="10"/>
        <v>1.5703551425137321</v>
      </c>
      <c r="M107" s="61">
        <f t="shared" si="11"/>
        <v>1.2009169807976399</v>
      </c>
    </row>
    <row r="108" spans="1:13" s="62" customFormat="1" ht="18.75" customHeight="1" x14ac:dyDescent="0.3">
      <c r="A108" s="53">
        <v>102</v>
      </c>
      <c r="B108" s="54">
        <f>IF(Input_Data!B108="",NA(),Input_Data!B108)</f>
        <v>37116</v>
      </c>
      <c r="C108" s="55" t="str">
        <f>IF(Input_Data!C108="",NA(),Input_Data!C108)</f>
        <v>Seis 4</v>
      </c>
      <c r="D108" s="56">
        <f>IF(Input_Data!D108="",NA(),CONVERT(Input_Data!D108,"ft","m"))</f>
        <v>370.02719999999999</v>
      </c>
      <c r="E108" s="57">
        <f>IF(Input_Data!E108="",NA(),CONVERT(Input_Data!E108,"lbm","g")/1000)</f>
        <v>177.80820904000001</v>
      </c>
      <c r="F108" s="58">
        <f>IF(Input_Data!F108="",NA(),CONVERT(Input_Data!F108,"in","m")*1000)</f>
        <v>11.176</v>
      </c>
      <c r="G108" s="58">
        <f>IF(Input_Data!K108="",NA(),CONVERT(Input_Data!K108,"psi","Pa"))</f>
        <v>15.882431129650927</v>
      </c>
      <c r="H108" s="59">
        <f t="shared" si="6"/>
        <v>27.749665065376124</v>
      </c>
      <c r="I108" s="60">
        <f t="shared" si="7"/>
        <v>1.4432577456159279</v>
      </c>
      <c r="J108" s="59">
        <f t="shared" si="8"/>
        <v>1.0482863931061255</v>
      </c>
      <c r="K108" s="59">
        <f t="shared" si="9"/>
        <v>65.803609059271167</v>
      </c>
      <c r="L108" s="61">
        <f t="shared" si="10"/>
        <v>1.8182497135462192</v>
      </c>
      <c r="M108" s="61">
        <f t="shared" si="11"/>
        <v>1.2009169807976399</v>
      </c>
    </row>
    <row r="109" spans="1:13" s="62" customFormat="1" ht="18.75" customHeight="1" x14ac:dyDescent="0.3">
      <c r="A109" s="53">
        <v>103</v>
      </c>
      <c r="B109" s="54">
        <f>IF(Input_Data!B109="",NA(),Input_Data!B109)</f>
        <v>37116</v>
      </c>
      <c r="C109" s="55" t="str">
        <f>IF(Input_Data!C109="",NA(),Input_Data!C109)</f>
        <v>Seis 5 A</v>
      </c>
      <c r="D109" s="56">
        <f>IF(Input_Data!D109="",NA(),CONVERT(Input_Data!D109,"ft","m"))</f>
        <v>547.11599999999999</v>
      </c>
      <c r="E109" s="57">
        <f>IF(Input_Data!E109="",NA(),CONVERT(Input_Data!E109,"lbm","g")/1000)</f>
        <v>177.80820904000001</v>
      </c>
      <c r="F109" s="58">
        <f>IF(Input_Data!F109="",NA(),CONVERT(Input_Data!F109,"in","m")*1000)</f>
        <v>4.5720000000000001</v>
      </c>
      <c r="G109" s="58">
        <f>IF(Input_Data!K109="",NA(),CONVERT(Input_Data!K109,"psi","Pa"))</f>
        <v>15.882431129650927</v>
      </c>
      <c r="H109" s="59">
        <f t="shared" si="6"/>
        <v>41.030188461573431</v>
      </c>
      <c r="I109" s="60">
        <f t="shared" si="7"/>
        <v>1.6131035117910271</v>
      </c>
      <c r="J109" s="59">
        <f t="shared" si="8"/>
        <v>0.66010622172324418</v>
      </c>
      <c r="K109" s="59">
        <f t="shared" si="9"/>
        <v>97.29611059422713</v>
      </c>
      <c r="L109" s="61">
        <f t="shared" si="10"/>
        <v>1.9880954797213184</v>
      </c>
      <c r="M109" s="61">
        <f t="shared" si="11"/>
        <v>1.2009169807976399</v>
      </c>
    </row>
    <row r="110" spans="1:13" s="62" customFormat="1" ht="18.75" customHeight="1" x14ac:dyDescent="0.3">
      <c r="A110" s="53">
        <v>104</v>
      </c>
      <c r="B110" s="54">
        <f>IF(Input_Data!B110="",NA(),Input_Data!B110)</f>
        <v>37116</v>
      </c>
      <c r="C110" s="55" t="str">
        <f>IF(Input_Data!C110="",NA(),Input_Data!C110)</f>
        <v>Seis 5</v>
      </c>
      <c r="D110" s="56">
        <f>IF(Input_Data!D110="",NA(),CONVERT(Input_Data!D110,"ft","m"))</f>
        <v>563.2704</v>
      </c>
      <c r="E110" s="57">
        <f>IF(Input_Data!E110="",NA(),CONVERT(Input_Data!E110,"lbm","g")/1000)</f>
        <v>177.80820904000001</v>
      </c>
      <c r="F110" s="58">
        <f>IF(Input_Data!F110="",NA(),CONVERT(Input_Data!F110,"in","m")*1000)</f>
        <v>7.8740000000000006</v>
      </c>
      <c r="G110" s="58">
        <f>IF(Input_Data!K110="",NA(),CONVERT(Input_Data!K110,"psi","Pa"))</f>
        <v>5.6352992183802844</v>
      </c>
      <c r="H110" s="59">
        <f t="shared" si="6"/>
        <v>42.241664778266127</v>
      </c>
      <c r="I110" s="60">
        <f t="shared" si="7"/>
        <v>1.6257410257607772</v>
      </c>
      <c r="J110" s="59">
        <f t="shared" si="8"/>
        <v>0.89619541045421081</v>
      </c>
      <c r="K110" s="59">
        <f t="shared" si="9"/>
        <v>100.16892054492018</v>
      </c>
      <c r="L110" s="61">
        <f t="shared" si="10"/>
        <v>2.0007329936910683</v>
      </c>
      <c r="M110" s="61">
        <f t="shared" si="11"/>
        <v>0.75091698079763947</v>
      </c>
    </row>
    <row r="111" spans="1:13" s="62" customFormat="1" ht="18.75" customHeight="1" x14ac:dyDescent="0.3">
      <c r="A111" s="53">
        <v>105</v>
      </c>
      <c r="B111" s="54">
        <f>IF(Input_Data!B111="",NA(),Input_Data!B111)</f>
        <v>37116</v>
      </c>
      <c r="C111" s="55" t="str">
        <f>IF(Input_Data!C111="",NA(),Input_Data!C111)</f>
        <v>Seis 6</v>
      </c>
      <c r="D111" s="56">
        <f>IF(Input_Data!D111="",NA(),CONVERT(Input_Data!D111,"ft","m"))</f>
        <v>691.89599999999996</v>
      </c>
      <c r="E111" s="57">
        <f>IF(Input_Data!E111="",NA(),CONVERT(Input_Data!E111,"lbm","g")/1000)</f>
        <v>177.80820904000001</v>
      </c>
      <c r="F111" s="58">
        <f>IF(Input_Data!F111="",NA(),CONVERT(Input_Data!F111,"in","m")*1000)</f>
        <v>2.794</v>
      </c>
      <c r="G111" s="58">
        <f>IF(Input_Data!K111="",NA(),CONVERT(Input_Data!K111,"psi","Pa"))</f>
        <v>3.9894863253955477</v>
      </c>
      <c r="H111" s="59">
        <f t="shared" si="6"/>
        <v>51.887759224385334</v>
      </c>
      <c r="I111" s="60">
        <f t="shared" si="7"/>
        <v>1.7150649160698119</v>
      </c>
      <c r="J111" s="59">
        <f t="shared" si="8"/>
        <v>0.44622640177816308</v>
      </c>
      <c r="K111" s="59">
        <f t="shared" si="9"/>
        <v>123.04299222779697</v>
      </c>
      <c r="L111" s="61">
        <f t="shared" si="10"/>
        <v>2.090056884000103</v>
      </c>
      <c r="M111" s="61">
        <f t="shared" si="11"/>
        <v>0.60091698079763922</v>
      </c>
    </row>
    <row r="112" spans="1:13" s="62" customFormat="1" ht="18.75" customHeight="1" x14ac:dyDescent="0.3">
      <c r="A112" s="53">
        <v>106</v>
      </c>
      <c r="B112" s="54">
        <f>IF(Input_Data!B112="",NA(),Input_Data!B112)</f>
        <v>37116</v>
      </c>
      <c r="C112" s="55" t="str">
        <f>IF(Input_Data!C112="",NA(),Input_Data!C112)</f>
        <v>Seis 7</v>
      </c>
      <c r="D112" s="56">
        <f>IF(Input_Data!D112="",NA(),CONVERT(Input_Data!D112,"ft","m"))</f>
        <v>386.1816</v>
      </c>
      <c r="E112" s="57">
        <f>IF(Input_Data!E112="",NA(),CONVERT(Input_Data!E112,"lbm","g")/1000)</f>
        <v>177.80820904000001</v>
      </c>
      <c r="F112" s="58">
        <f>IF(Input_Data!F112="",NA(),CONVERT(Input_Data!F112,"in","m")*1000)</f>
        <v>3.3019999999999996</v>
      </c>
      <c r="G112" s="58">
        <f>IF(Input_Data!K112="",NA(),CONVERT(Input_Data!K112,"psi","Pa"))</f>
        <v>28.243400259219452</v>
      </c>
      <c r="H112" s="59">
        <f t="shared" si="6"/>
        <v>28.961141382068821</v>
      </c>
      <c r="I112" s="60">
        <f t="shared" si="7"/>
        <v>1.4618156737601304</v>
      </c>
      <c r="J112" s="59">
        <f t="shared" si="8"/>
        <v>0.51877706892677478</v>
      </c>
      <c r="K112" s="59">
        <f t="shared" si="9"/>
        <v>68.676419009964221</v>
      </c>
      <c r="L112" s="61">
        <f t="shared" si="10"/>
        <v>1.8368076416904218</v>
      </c>
      <c r="M112" s="61">
        <f t="shared" si="11"/>
        <v>1.4509169807976396</v>
      </c>
    </row>
    <row r="113" spans="1:13" s="62" customFormat="1" ht="18.75" customHeight="1" x14ac:dyDescent="0.3">
      <c r="A113" s="53">
        <v>107</v>
      </c>
      <c r="B113" s="54">
        <f>IF(Input_Data!B113="",NA(),Input_Data!B113)</f>
        <v>37116</v>
      </c>
      <c r="C113" s="55" t="str">
        <f>IF(Input_Data!C113="",NA(),Input_Data!C113)</f>
        <v>Seis 8</v>
      </c>
      <c r="D113" s="56">
        <f>IF(Input_Data!D113="",NA(),CONVERT(Input_Data!D113,"ft","m"))</f>
        <v>402.33600000000001</v>
      </c>
      <c r="E113" s="57">
        <f>IF(Input_Data!E113="",NA(),CONVERT(Input_Data!E113,"lbm","g")/1000)</f>
        <v>177.80820904000001</v>
      </c>
      <c r="F113" s="58">
        <f>IF(Input_Data!F113="",NA(),CONVERT(Input_Data!F113,"in","m")*1000)</f>
        <v>8.1280000000000001</v>
      </c>
      <c r="G113" s="58">
        <f>IF(Input_Data!K113="",NA(),CONVERT(Input_Data!K113,"psi","Pa"))</f>
        <v>19.994796150188247</v>
      </c>
      <c r="H113" s="59">
        <f t="shared" si="6"/>
        <v>30.17261769876152</v>
      </c>
      <c r="I113" s="60">
        <f t="shared" si="7"/>
        <v>1.479612990082539</v>
      </c>
      <c r="J113" s="59">
        <f t="shared" si="8"/>
        <v>0.90998369493984399</v>
      </c>
      <c r="K113" s="59">
        <f t="shared" si="9"/>
        <v>71.549228960657274</v>
      </c>
      <c r="L113" s="61">
        <f t="shared" si="10"/>
        <v>1.8546049580128301</v>
      </c>
      <c r="M113" s="61">
        <f t="shared" si="11"/>
        <v>1.3009169807976388</v>
      </c>
    </row>
    <row r="114" spans="1:13" s="62" customFormat="1" ht="18.75" customHeight="1" x14ac:dyDescent="0.3">
      <c r="A114" s="53">
        <v>108</v>
      </c>
      <c r="B114" s="54">
        <f>IF(Input_Data!B114="",NA(),Input_Data!B114)</f>
        <v>37116</v>
      </c>
      <c r="C114" s="55" t="str">
        <f>IF(Input_Data!C114="",NA(),Input_Data!C114)</f>
        <v>Seis 9</v>
      </c>
      <c r="D114" s="56">
        <f>IF(Input_Data!D114="",NA(),CONVERT(Input_Data!D114,"ft","m"))</f>
        <v>469.392</v>
      </c>
      <c r="E114" s="57">
        <f>IF(Input_Data!E114="",NA(),CONVERT(Input_Data!E114,"lbm","g")/1000)</f>
        <v>177.80820904000001</v>
      </c>
      <c r="F114" s="58">
        <f>IF(Input_Data!F114="",NA(),CONVERT(Input_Data!F114,"in","m")*1000)</f>
        <v>3.048</v>
      </c>
      <c r="G114" s="58">
        <f>IF(Input_Data!K114="",NA(),CONVERT(Input_Data!K114,"psi","Pa"))</f>
        <v>17.820380826648311</v>
      </c>
      <c r="H114" s="59">
        <f t="shared" si="6"/>
        <v>35.201387315221773</v>
      </c>
      <c r="I114" s="60">
        <f t="shared" si="7"/>
        <v>1.5465597797131523</v>
      </c>
      <c r="J114" s="59">
        <f t="shared" si="8"/>
        <v>0.48401496266756289</v>
      </c>
      <c r="K114" s="59">
        <f t="shared" si="9"/>
        <v>83.474100454100153</v>
      </c>
      <c r="L114" s="61">
        <f t="shared" si="10"/>
        <v>1.9215517476434434</v>
      </c>
      <c r="M114" s="61">
        <f t="shared" si="11"/>
        <v>1.2509169807976397</v>
      </c>
    </row>
    <row r="115" spans="1:13" s="62" customFormat="1" ht="18.75" customHeight="1" x14ac:dyDescent="0.3">
      <c r="A115" s="53">
        <v>109</v>
      </c>
      <c r="B115" s="54">
        <f>IF(Input_Data!B115="",NA(),Input_Data!B115)</f>
        <v>37116</v>
      </c>
      <c r="C115" s="55" t="str">
        <f>IF(Input_Data!C115="",NA(),Input_Data!C115)</f>
        <v>Seis 10</v>
      </c>
      <c r="D115" s="56">
        <f>IF(Input_Data!D115="",NA(),CONVERT(Input_Data!D115,"ft","m"))</f>
        <v>498.95760000000001</v>
      </c>
      <c r="E115" s="57">
        <f>IF(Input_Data!E115="",NA(),CONVERT(Input_Data!E115,"lbm","g")/1000)</f>
        <v>177.80820904000001</v>
      </c>
      <c r="F115" s="58">
        <f>IF(Input_Data!F115="",NA(),CONVERT(Input_Data!F115,"in","m")*1000)</f>
        <v>6.8580000000000005</v>
      </c>
      <c r="G115" s="58">
        <f>IF(Input_Data!K115="",NA(),CONVERT(Input_Data!K115,"psi","Pa"))</f>
        <v>14.155231644145974</v>
      </c>
      <c r="H115" s="59">
        <f t="shared" si="6"/>
        <v>37.418617555206524</v>
      </c>
      <c r="I115" s="60">
        <f t="shared" si="7"/>
        <v>1.5730877382886306</v>
      </c>
      <c r="J115" s="59">
        <f t="shared" si="8"/>
        <v>0.83619748077892542</v>
      </c>
      <c r="K115" s="59">
        <f t="shared" si="9"/>
        <v>88.731884703481796</v>
      </c>
      <c r="L115" s="61">
        <f t="shared" si="10"/>
        <v>1.9480797062189219</v>
      </c>
      <c r="M115" s="61">
        <f t="shared" si="11"/>
        <v>1.1509169807976394</v>
      </c>
    </row>
    <row r="116" spans="1:13" s="62" customFormat="1" ht="18.75" customHeight="1" x14ac:dyDescent="0.3">
      <c r="A116" s="53">
        <v>110</v>
      </c>
      <c r="B116" s="54">
        <f>IF(Input_Data!B116="",NA(),Input_Data!B116)</f>
        <v>37116</v>
      </c>
      <c r="C116" s="55" t="str">
        <f>IF(Input_Data!C116="",NA(),Input_Data!C116)</f>
        <v>Seis 11</v>
      </c>
      <c r="D116" s="56">
        <f>IF(Input_Data!D116="",NA(),CONVERT(Input_Data!D116,"ft","m"))</f>
        <v>563.2704</v>
      </c>
      <c r="E116" s="57">
        <f>IF(Input_Data!E116="",NA(),CONVERT(Input_Data!E116,"lbm","g")/1000)</f>
        <v>177.80820904000001</v>
      </c>
      <c r="F116" s="58">
        <f>IF(Input_Data!F116="",NA(),CONVERT(Input_Data!F116,"in","m")*1000)</f>
        <v>2.032</v>
      </c>
      <c r="G116" s="58">
        <f>IF(Input_Data!K116="",NA(),CONVERT(Input_Data!K116,"psi","Pa"))</f>
        <v>10.021136569454107</v>
      </c>
      <c r="H116" s="59">
        <f t="shared" si="6"/>
        <v>42.241664778266127</v>
      </c>
      <c r="I116" s="60">
        <f t="shared" si="7"/>
        <v>1.6257410257607772</v>
      </c>
      <c r="J116" s="59">
        <f t="shared" si="8"/>
        <v>0.30792370361188165</v>
      </c>
      <c r="K116" s="59">
        <f t="shared" si="9"/>
        <v>100.16892054492018</v>
      </c>
      <c r="L116" s="61">
        <f t="shared" si="10"/>
        <v>2.0007329936910683</v>
      </c>
      <c r="M116" s="61">
        <f t="shared" si="11"/>
        <v>1.0009169807976399</v>
      </c>
    </row>
    <row r="117" spans="1:13" s="62" customFormat="1" ht="18.75" customHeight="1" x14ac:dyDescent="0.3">
      <c r="A117" s="53">
        <v>111</v>
      </c>
      <c r="B117" s="54">
        <f>IF(Input_Data!B117="",NA(),Input_Data!B117)</f>
        <v>36756</v>
      </c>
      <c r="C117" s="55" t="str">
        <f>IF(Input_Data!C117="",NA(),Input_Data!C117)</f>
        <v>Seis 15 A</v>
      </c>
      <c r="D117" s="56">
        <f>IF(Input_Data!D117="",NA(),CONVERT(Input_Data!D117,"ft","m"))</f>
        <v>33.223199999999999</v>
      </c>
      <c r="E117" s="57">
        <f>IF(Input_Data!E117="",NA(),CONVERT(Input_Data!E117,"lbm","g")/1000)</f>
        <v>193.91073817500001</v>
      </c>
      <c r="F117" s="58">
        <f>IF(Input_Data!F117="",NA(),CONVERT(Input_Data!F117,"in","m")*1000)</f>
        <v>81.28</v>
      </c>
      <c r="G117" s="58">
        <f>IF(Input_Data!K117="",NA(),CONVERT(Input_Data!K117,"psi","Pa"))</f>
        <v>141.55231644145965</v>
      </c>
      <c r="H117" s="59">
        <f t="shared" si="6"/>
        <v>2.3858356891013881</v>
      </c>
      <c r="I117" s="60">
        <f t="shared" si="7"/>
        <v>0.37764053079544574</v>
      </c>
      <c r="J117" s="59">
        <f t="shared" si="8"/>
        <v>1.9099836949398441</v>
      </c>
      <c r="K117" s="59">
        <f t="shared" si="9"/>
        <v>5.7399420444787728</v>
      </c>
      <c r="L117" s="61">
        <f t="shared" si="10"/>
        <v>0.75890750739969259</v>
      </c>
      <c r="M117" s="61">
        <f t="shared" si="11"/>
        <v>2.1509169807976392</v>
      </c>
    </row>
    <row r="118" spans="1:13" s="62" customFormat="1" ht="18.75" customHeight="1" x14ac:dyDescent="0.3">
      <c r="A118" s="53">
        <v>112</v>
      </c>
      <c r="B118" s="54">
        <f>IF(Input_Data!B118="",NA(),Input_Data!B118)</f>
        <v>36756</v>
      </c>
      <c r="C118" s="55" t="str">
        <f>IF(Input_Data!C118="",NA(),Input_Data!C118)</f>
        <v>Seis 15</v>
      </c>
      <c r="D118" s="56">
        <f>IF(Input_Data!D118="",NA(),CONVERT(Input_Data!D118,"ft","m"))</f>
        <v>93.268799999999999</v>
      </c>
      <c r="E118" s="57">
        <f>IF(Input_Data!E118="",NA(),CONVERT(Input_Data!E118,"lbm","g")/1000)</f>
        <v>193.91073817500001</v>
      </c>
      <c r="F118" s="58">
        <f>IF(Input_Data!F118="",NA(),CONVERT(Input_Data!F118,"in","m")*1000)</f>
        <v>49.783999999999999</v>
      </c>
      <c r="G118" s="58">
        <f>IF(Input_Data!K118="",NA(),CONVERT(Input_Data!K118,"psi","Pa"))</f>
        <v>63.229097185361127</v>
      </c>
      <c r="H118" s="59">
        <f t="shared" si="6"/>
        <v>6.6978506501378412</v>
      </c>
      <c r="I118" s="60">
        <f t="shared" si="7"/>
        <v>0.825935459336402</v>
      </c>
      <c r="J118" s="59">
        <f t="shared" si="8"/>
        <v>1.6970897879764142</v>
      </c>
      <c r="K118" s="59">
        <f t="shared" si="9"/>
        <v>16.113965739545911</v>
      </c>
      <c r="L118" s="61">
        <f t="shared" si="10"/>
        <v>1.207202435940649</v>
      </c>
      <c r="M118" s="61">
        <f t="shared" si="11"/>
        <v>1.8009169807976397</v>
      </c>
    </row>
    <row r="119" spans="1:13" s="62" customFormat="1" ht="18.75" customHeight="1" x14ac:dyDescent="0.3">
      <c r="A119" s="53">
        <v>113</v>
      </c>
      <c r="B119" s="54">
        <f>IF(Input_Data!B119="",NA(),Input_Data!B119)</f>
        <v>36756</v>
      </c>
      <c r="C119" s="55" t="str">
        <f>IF(Input_Data!C119="",NA(),Input_Data!C119)</f>
        <v>Seis 16</v>
      </c>
      <c r="D119" s="56">
        <f>IF(Input_Data!D119="",NA(),CONVERT(Input_Data!D119,"ft","m"))</f>
        <v>189.8904</v>
      </c>
      <c r="E119" s="57">
        <f>IF(Input_Data!E119="",NA(),CONVERT(Input_Data!E119,"lbm","g")/1000)</f>
        <v>193.91073817500001</v>
      </c>
      <c r="F119" s="58">
        <f>IF(Input_Data!F119="",NA(),CONVERT(Input_Data!F119,"in","m")*1000)</f>
        <v>27.178000000000001</v>
      </c>
      <c r="G119" s="58">
        <f>IF(Input_Data!K119="",NA(),CONVERT(Input_Data!K119,"psi","Pa"))</f>
        <v>44.762772802791275</v>
      </c>
      <c r="H119" s="59">
        <f t="shared" si="6"/>
        <v>13.636473709267566</v>
      </c>
      <c r="I119" s="60">
        <f t="shared" si="7"/>
        <v>1.1347020795139917</v>
      </c>
      <c r="J119" s="59">
        <f t="shared" si="8"/>
        <v>1.4342174943051478</v>
      </c>
      <c r="K119" s="59">
        <f t="shared" si="9"/>
        <v>32.807191685415368</v>
      </c>
      <c r="L119" s="61">
        <f t="shared" si="10"/>
        <v>1.5159690561182386</v>
      </c>
      <c r="M119" s="61">
        <f t="shared" si="11"/>
        <v>1.6509169807976387</v>
      </c>
    </row>
    <row r="120" spans="1:13" s="62" customFormat="1" ht="18.75" customHeight="1" x14ac:dyDescent="0.3">
      <c r="A120" s="53">
        <v>114</v>
      </c>
      <c r="B120" s="54">
        <f>IF(Input_Data!B120="",NA(),Input_Data!B120)</f>
        <v>36756</v>
      </c>
      <c r="C120" s="55" t="str">
        <f>IF(Input_Data!C120="",NA(),Input_Data!C120)</f>
        <v>Seis 17</v>
      </c>
      <c r="D120" s="56">
        <f>IF(Input_Data!D120="",NA(),CONVERT(Input_Data!D120,"ft","m"))</f>
        <v>329.79360000000003</v>
      </c>
      <c r="E120" s="57">
        <f>IF(Input_Data!E120="",NA(),CONVERT(Input_Data!E120,"lbm","g")/1000)</f>
        <v>193.91073817500001</v>
      </c>
      <c r="F120" s="58">
        <f>IF(Input_Data!F120="",NA(),CONVERT(Input_Data!F120,"in","m")*1000)</f>
        <v>10.414</v>
      </c>
      <c r="G120" s="58">
        <f>IF(Input_Data!K120="",NA(),CONVERT(Input_Data!K120,"psi","Pa"))</f>
        <v>28.243400259219452</v>
      </c>
      <c r="H120" s="59">
        <f t="shared" si="6"/>
        <v>23.68324968447433</v>
      </c>
      <c r="I120" s="60">
        <f t="shared" si="7"/>
        <v>1.3744412936253727</v>
      </c>
      <c r="J120" s="59">
        <f t="shared" si="8"/>
        <v>1.0176175733396735</v>
      </c>
      <c r="K120" s="59">
        <f t="shared" si="9"/>
        <v>56.978140294734246</v>
      </c>
      <c r="L120" s="61">
        <f t="shared" si="10"/>
        <v>1.7557082702296196</v>
      </c>
      <c r="M120" s="61">
        <f t="shared" si="11"/>
        <v>1.4509169807976396</v>
      </c>
    </row>
    <row r="121" spans="1:13" s="62" customFormat="1" ht="18.75" customHeight="1" x14ac:dyDescent="0.3">
      <c r="A121" s="53">
        <v>115</v>
      </c>
      <c r="B121" s="54">
        <f>IF(Input_Data!B121="",NA(),Input_Data!B121)</f>
        <v>36756</v>
      </c>
      <c r="C121" s="55" t="str">
        <f>IF(Input_Data!C121="",NA(),Input_Data!C121)</f>
        <v>Seis 18</v>
      </c>
      <c r="D121" s="56">
        <f>IF(Input_Data!D121="",NA(),CONVERT(Input_Data!D121,"ft","m"))</f>
        <v>408.43200000000002</v>
      </c>
      <c r="E121" s="57">
        <f>IF(Input_Data!E121="",NA(),CONVERT(Input_Data!E121,"lbm","g")/1000)</f>
        <v>193.91073817500001</v>
      </c>
      <c r="F121" s="58">
        <f>IF(Input_Data!F121="",NA(),CONVERT(Input_Data!F121,"in","m")*1000)</f>
        <v>28.448</v>
      </c>
      <c r="G121" s="58">
        <f>IF(Input_Data!K121="",NA(),CONVERT(Input_Data!K121,"psi","Pa"))</f>
        <v>17.820380826648311</v>
      </c>
      <c r="H121" s="59">
        <f t="shared" si="6"/>
        <v>29.330457095374864</v>
      </c>
      <c r="I121" s="60">
        <f t="shared" si="7"/>
        <v>1.4673188312196297</v>
      </c>
      <c r="J121" s="59">
        <f t="shared" si="8"/>
        <v>1.4540517392901198</v>
      </c>
      <c r="K121" s="59">
        <f t="shared" si="9"/>
        <v>70.564425133959233</v>
      </c>
      <c r="L121" s="61">
        <f t="shared" si="10"/>
        <v>1.8485858078238766</v>
      </c>
      <c r="M121" s="61">
        <f t="shared" si="11"/>
        <v>1.2509169807976397</v>
      </c>
    </row>
    <row r="122" spans="1:13" s="62" customFormat="1" ht="18.75" customHeight="1" x14ac:dyDescent="0.3">
      <c r="A122" s="53">
        <v>116</v>
      </c>
      <c r="B122" s="54">
        <f>IF(Input_Data!B122="",NA(),Input_Data!B122)</f>
        <v>36756</v>
      </c>
      <c r="C122" s="55" t="str">
        <f>IF(Input_Data!C122="",NA(),Input_Data!C122)</f>
        <v>Seis 20</v>
      </c>
      <c r="D122" s="56">
        <f>IF(Input_Data!D122="",NA(),CONVERT(Input_Data!D122,"ft","m"))</f>
        <v>1132.6368</v>
      </c>
      <c r="E122" s="57">
        <f>IF(Input_Data!E122="",NA(),CONVERT(Input_Data!E122,"lbm","g")/1000)</f>
        <v>193.91073817500001</v>
      </c>
      <c r="F122" s="58">
        <f>IF(Input_Data!F122="",NA(),CONVERT(Input_Data!F122,"in","m")*1000)</f>
        <v>1.524</v>
      </c>
      <c r="G122" s="58">
        <f>IF(Input_Data!K122="",NA(),CONVERT(Input_Data!K122,"psi","Pa"))</f>
        <v>3.9894863253955477</v>
      </c>
      <c r="H122" s="59">
        <f t="shared" si="6"/>
        <v>81.337297437621629</v>
      </c>
      <c r="I122" s="60">
        <f t="shared" si="7"/>
        <v>1.9102897381764261</v>
      </c>
      <c r="J122" s="59">
        <f t="shared" si="8"/>
        <v>0.18298496700358169</v>
      </c>
      <c r="K122" s="59">
        <f t="shared" si="9"/>
        <v>195.68462969984515</v>
      </c>
      <c r="L122" s="61">
        <f t="shared" si="10"/>
        <v>2.2915567147806732</v>
      </c>
      <c r="M122" s="61">
        <f t="shared" si="11"/>
        <v>0.60091698079763922</v>
      </c>
    </row>
    <row r="123" spans="1:13" s="62" customFormat="1" ht="18.75" customHeight="1" x14ac:dyDescent="0.3">
      <c r="A123" s="53">
        <v>117</v>
      </c>
      <c r="B123" s="54">
        <f>IF(Input_Data!B123="",NA(),Input_Data!B123)</f>
        <v>36760</v>
      </c>
      <c r="C123" s="55" t="str">
        <f>IF(Input_Data!C123="",NA(),Input_Data!C123)</f>
        <v>Seis 15 A</v>
      </c>
      <c r="D123" s="56">
        <f>IF(Input_Data!D123="",NA(),CONVERT(Input_Data!D123,"ft","m"))</f>
        <v>27.431999999999999</v>
      </c>
      <c r="E123" s="57">
        <f>IF(Input_Data!E123="",NA(),CONVERT(Input_Data!E123,"lbm","g")/1000)</f>
        <v>133.12936059500001</v>
      </c>
      <c r="F123" s="58">
        <f>IF(Input_Data!F123="",NA(),CONVERT(Input_Data!F123,"in","m")*1000)</f>
        <v>75.183999999999997</v>
      </c>
      <c r="G123" s="58">
        <f>IF(Input_Data!K123="",NA(),CONVERT(Input_Data!K123,"psi","Pa"))</f>
        <v>158.82431129650914</v>
      </c>
      <c r="H123" s="59">
        <f t="shared" si="6"/>
        <v>2.3775001282375912</v>
      </c>
      <c r="I123" s="60">
        <f t="shared" si="7"/>
        <v>0.37612054903442599</v>
      </c>
      <c r="J123" s="59">
        <f t="shared" si="8"/>
        <v>1.8761254276788766</v>
      </c>
      <c r="K123" s="59">
        <f t="shared" si="9"/>
        <v>5.3723733990804732</v>
      </c>
      <c r="L123" s="61">
        <f t="shared" si="10"/>
        <v>0.73016619005857997</v>
      </c>
      <c r="M123" s="61">
        <f t="shared" si="11"/>
        <v>2.2009169807976394</v>
      </c>
    </row>
    <row r="124" spans="1:13" s="62" customFormat="1" ht="18.75" customHeight="1" x14ac:dyDescent="0.3">
      <c r="A124" s="53">
        <v>118</v>
      </c>
      <c r="B124" s="54">
        <f>IF(Input_Data!B124="",NA(),Input_Data!B124)</f>
        <v>36760</v>
      </c>
      <c r="C124" s="55" t="str">
        <f>IF(Input_Data!C124="",NA(),Input_Data!C124)</f>
        <v>Seis 15</v>
      </c>
      <c r="D124" s="56">
        <f>IF(Input_Data!D124="",NA(),CONVERT(Input_Data!D124,"ft","m"))</f>
        <v>55.778399999999998</v>
      </c>
      <c r="E124" s="57">
        <f>IF(Input_Data!E124="",NA(),CONVERT(Input_Data!E124,"lbm","g")/1000)</f>
        <v>133.12936059500001</v>
      </c>
      <c r="F124" s="58">
        <f>IF(Input_Data!F124="",NA(),CONVERT(Input_Data!F124,"in","m")*1000)</f>
        <v>67.056000000000012</v>
      </c>
      <c r="G124" s="58">
        <f>IF(Input_Data!K124="",NA(),CONVERT(Input_Data!K124,"psi","Pa"))</f>
        <v>100.21136569454099</v>
      </c>
      <c r="H124" s="59">
        <f t="shared" si="6"/>
        <v>4.8342502607497684</v>
      </c>
      <c r="I124" s="60">
        <f t="shared" si="7"/>
        <v>0.68432912932553058</v>
      </c>
      <c r="J124" s="59">
        <f t="shared" si="8"/>
        <v>1.8264376434897691</v>
      </c>
      <c r="K124" s="59">
        <f t="shared" si="9"/>
        <v>10.923825911463629</v>
      </c>
      <c r="L124" s="61">
        <f t="shared" si="10"/>
        <v>1.0383747703496846</v>
      </c>
      <c r="M124" s="61">
        <f t="shared" si="11"/>
        <v>2.0009169807976397</v>
      </c>
    </row>
    <row r="125" spans="1:13" s="62" customFormat="1" ht="18.75" customHeight="1" x14ac:dyDescent="0.3">
      <c r="A125" s="53">
        <v>119</v>
      </c>
      <c r="B125" s="54">
        <f>IF(Input_Data!B125="",NA(),Input_Data!B125)</f>
        <v>36760</v>
      </c>
      <c r="C125" s="55" t="str">
        <f>IF(Input_Data!C125="",NA(),Input_Data!C125)</f>
        <v>Seis 16</v>
      </c>
      <c r="D125" s="56">
        <f>IF(Input_Data!D125="",NA(),CONVERT(Input_Data!D125,"ft","m"))</f>
        <v>128.62559999999999</v>
      </c>
      <c r="E125" s="57">
        <f>IF(Input_Data!E125="",NA(),CONVERT(Input_Data!E125,"lbm","g")/1000)</f>
        <v>133.12936059500001</v>
      </c>
      <c r="F125" s="58">
        <f>IF(Input_Data!F125="",NA(),CONVERT(Input_Data!F125,"in","m")*1000)</f>
        <v>29.464000000000002</v>
      </c>
      <c r="G125" s="58">
        <f>IF(Input_Data!K125="",NA(),CONVERT(Input_Data!K125,"psi","Pa"))</f>
        <v>39.894863253955457</v>
      </c>
      <c r="H125" s="59">
        <f t="shared" si="6"/>
        <v>11.147833934625149</v>
      </c>
      <c r="I125" s="60">
        <f t="shared" si="7"/>
        <v>1.047190490556775</v>
      </c>
      <c r="J125" s="59">
        <f t="shared" si="8"/>
        <v>1.4692917058468566</v>
      </c>
      <c r="K125" s="59">
        <f t="shared" si="9"/>
        <v>25.190461937910662</v>
      </c>
      <c r="L125" s="61">
        <f t="shared" si="10"/>
        <v>1.401236131580929</v>
      </c>
      <c r="M125" s="61">
        <f t="shared" si="11"/>
        <v>1.6009169807976391</v>
      </c>
    </row>
    <row r="126" spans="1:13" s="62" customFormat="1" ht="18.75" customHeight="1" x14ac:dyDescent="0.3">
      <c r="A126" s="53">
        <v>120</v>
      </c>
      <c r="B126" s="54">
        <f>IF(Input_Data!B126="",NA(),Input_Data!B126)</f>
        <v>36760</v>
      </c>
      <c r="C126" s="55" t="str">
        <f>IF(Input_Data!C126="",NA(),Input_Data!C126)</f>
        <v>Seis 17</v>
      </c>
      <c r="D126" s="56">
        <f>IF(Input_Data!D126="",NA(),CONVERT(Input_Data!D126,"ft","m"))</f>
        <v>256.64159999999998</v>
      </c>
      <c r="E126" s="57">
        <f>IF(Input_Data!E126="",NA(),CONVERT(Input_Data!E126,"lbm","g")/1000)</f>
        <v>133.12936059500001</v>
      </c>
      <c r="F126" s="58">
        <f>IF(Input_Data!F126="",NA(),CONVERT(Input_Data!F126,"in","m")*1000)</f>
        <v>12.954000000000001</v>
      </c>
      <c r="G126" s="58">
        <f>IF(Input_Data!K126="",NA(),CONVERT(Input_Data!K126,"psi","Pa"))</f>
        <v>14.155231644145974</v>
      </c>
      <c r="H126" s="59">
        <f t="shared" si="6"/>
        <v>22.242834533067242</v>
      </c>
      <c r="I126" s="60">
        <f t="shared" si="7"/>
        <v>1.3471901310947505</v>
      </c>
      <c r="J126" s="59">
        <f t="shared" si="8"/>
        <v>1.1124038927178745</v>
      </c>
      <c r="K126" s="59">
        <f t="shared" si="9"/>
        <v>50.261537800286199</v>
      </c>
      <c r="L126" s="61">
        <f t="shared" si="10"/>
        <v>1.7012357721189044</v>
      </c>
      <c r="M126" s="61">
        <f t="shared" si="11"/>
        <v>1.1509169807976394</v>
      </c>
    </row>
    <row r="127" spans="1:13" s="62" customFormat="1" ht="18.75" customHeight="1" x14ac:dyDescent="0.3">
      <c r="A127" s="53">
        <v>121</v>
      </c>
      <c r="B127" s="54">
        <f>IF(Input_Data!B127="",NA(),Input_Data!B127)</f>
        <v>36760</v>
      </c>
      <c r="C127" s="55" t="str">
        <f>IF(Input_Data!C127="",NA(),Input_Data!C127)</f>
        <v>Seis 18</v>
      </c>
      <c r="D127" s="56">
        <f>IF(Input_Data!D127="",NA(),CONVERT(Input_Data!D127,"ft","m"))</f>
        <v>354.17759999999998</v>
      </c>
      <c r="E127" s="57">
        <f>IF(Input_Data!E127="",NA(),CONVERT(Input_Data!E127,"lbm","g")/1000)</f>
        <v>133.12936059500001</v>
      </c>
      <c r="F127" s="58">
        <f>IF(Input_Data!F127="",NA(),CONVERT(Input_Data!F127,"in","m")*1000)</f>
        <v>15.24</v>
      </c>
      <c r="G127" s="58">
        <f>IF(Input_Data!K127="",NA(),CONVERT(Input_Data!K127,"psi","Pa"))</f>
        <v>12.615863482345585</v>
      </c>
      <c r="H127" s="59">
        <f t="shared" si="6"/>
        <v>30.696168322356456</v>
      </c>
      <c r="I127" s="60">
        <f t="shared" si="7"/>
        <v>1.4870841676494131</v>
      </c>
      <c r="J127" s="59">
        <f t="shared" si="8"/>
        <v>1.1829849670035817</v>
      </c>
      <c r="K127" s="59">
        <f t="shared" si="9"/>
        <v>69.363309885905664</v>
      </c>
      <c r="L127" s="61">
        <f t="shared" si="10"/>
        <v>1.841129808673567</v>
      </c>
      <c r="M127" s="61">
        <f t="shared" si="11"/>
        <v>1.1009169807976396</v>
      </c>
    </row>
    <row r="128" spans="1:13" s="62" customFormat="1" ht="18.75" customHeight="1" x14ac:dyDescent="0.3">
      <c r="A128" s="53">
        <v>122</v>
      </c>
      <c r="B128" s="54">
        <f>IF(Input_Data!B128="",NA(),Input_Data!B128)</f>
        <v>36760</v>
      </c>
      <c r="C128" s="55" t="str">
        <f>IF(Input_Data!C128="",NA(),Input_Data!C128)</f>
        <v>Seis 21</v>
      </c>
      <c r="D128" s="56">
        <f>IF(Input_Data!D128="",NA(),CONVERT(Input_Data!D128,"ft","m"))</f>
        <v>981.76080000000002</v>
      </c>
      <c r="E128" s="57">
        <f>IF(Input_Data!E128="",NA(),CONVERT(Input_Data!E128,"lbm","g")/1000)</f>
        <v>133.12936059500001</v>
      </c>
      <c r="F128" s="58">
        <f>IF(Input_Data!F128="",NA(),CONVERT(Input_Data!F128,"in","m")*1000)</f>
        <v>0.76200000000000001</v>
      </c>
      <c r="G128" s="58">
        <f>IF(Input_Data!K128="",NA(),CONVERT(Input_Data!K128,"psi","Pa"))</f>
        <v>3.9894863253955477</v>
      </c>
      <c r="H128" s="59">
        <f t="shared" si="6"/>
        <v>85.088087922814239</v>
      </c>
      <c r="I128" s="60">
        <f t="shared" si="7"/>
        <v>1.9298687644147925</v>
      </c>
      <c r="J128" s="59">
        <f t="shared" si="8"/>
        <v>-0.1180450286603995</v>
      </c>
      <c r="K128" s="59">
        <f t="shared" si="9"/>
        <v>192.27127464931337</v>
      </c>
      <c r="L128" s="61">
        <f t="shared" si="10"/>
        <v>2.2839144054389466</v>
      </c>
      <c r="M128" s="61">
        <f t="shared" si="11"/>
        <v>0.60091698079763922</v>
      </c>
    </row>
    <row r="129" spans="1:13" s="62" customFormat="1" ht="18.75" customHeight="1" x14ac:dyDescent="0.3">
      <c r="A129" s="53">
        <v>123</v>
      </c>
      <c r="B129" s="54">
        <f>IF(Input_Data!B129="",NA(),Input_Data!B129)</f>
        <v>36760</v>
      </c>
      <c r="C129" s="55" t="str">
        <f>IF(Input_Data!C129="",NA(),Input_Data!C129)</f>
        <v>Seis 7 A</v>
      </c>
      <c r="D129" s="56">
        <f>IF(Input_Data!D129="",NA(),CONVERT(Input_Data!D129,"ft","m"))</f>
        <v>30.48</v>
      </c>
      <c r="E129" s="57">
        <f>IF(Input_Data!E129="",NA(),CONVERT(Input_Data!E129,"lbm","g")/1000)</f>
        <v>151.49985158000001</v>
      </c>
      <c r="F129" s="58">
        <f>IF(Input_Data!F129="",NA(),CONVERT(Input_Data!F129,"in","m")*1000)</f>
        <v>123.95200000000001</v>
      </c>
      <c r="G129" s="58">
        <f>IF(Input_Data!K129="",NA(),CONVERT(Input_Data!K129,"psi","Pa"))</f>
        <v>199.94796150188247</v>
      </c>
      <c r="H129" s="59">
        <f t="shared" si="6"/>
        <v>2.4763319383591882</v>
      </c>
      <c r="I129" s="60">
        <f t="shared" si="7"/>
        <v>0.39380885898113555</v>
      </c>
      <c r="J129" s="59">
        <f t="shared" si="8"/>
        <v>2.0932535386226485</v>
      </c>
      <c r="K129" s="59">
        <f t="shared" si="9"/>
        <v>5.7175621427626222</v>
      </c>
      <c r="L129" s="61">
        <f t="shared" si="10"/>
        <v>0.75721089354327797</v>
      </c>
      <c r="M129" s="61">
        <f t="shared" si="11"/>
        <v>2.3009169807976391</v>
      </c>
    </row>
    <row r="130" spans="1:13" s="62" customFormat="1" ht="18.75" customHeight="1" x14ac:dyDescent="0.3">
      <c r="A130" s="53">
        <v>124</v>
      </c>
      <c r="B130" s="54">
        <f>IF(Input_Data!B130="",NA(),Input_Data!B130)</f>
        <v>36760</v>
      </c>
      <c r="C130" s="55" t="str">
        <f>IF(Input_Data!C130="",NA(),Input_Data!C130)</f>
        <v>Seis 7</v>
      </c>
      <c r="D130" s="56">
        <f>IF(Input_Data!D130="",NA(),CONVERT(Input_Data!D130,"ft","m"))</f>
        <v>79.857600000000005</v>
      </c>
      <c r="E130" s="57">
        <f>IF(Input_Data!E130="",NA(),CONVERT(Input_Data!E130,"lbm","g")/1000)</f>
        <v>151.49985158000001</v>
      </c>
      <c r="F130" s="58">
        <f>IF(Input_Data!F130="",NA(),CONVERT(Input_Data!F130,"in","m")*1000)</f>
        <v>59.943999999999996</v>
      </c>
      <c r="G130" s="58">
        <f>IF(Input_Data!K130="",NA(),CONVERT(Input_Data!K130,"psi","Pa"))</f>
        <v>63.229097185361127</v>
      </c>
      <c r="H130" s="59">
        <f t="shared" si="6"/>
        <v>6.4879896785010738</v>
      </c>
      <c r="I130" s="60">
        <f t="shared" si="7"/>
        <v>0.81211015030088107</v>
      </c>
      <c r="J130" s="59">
        <f t="shared" si="8"/>
        <v>1.7777457195900446</v>
      </c>
      <c r="K130" s="59">
        <f t="shared" si="9"/>
        <v>14.980012814038071</v>
      </c>
      <c r="L130" s="61">
        <f t="shared" si="10"/>
        <v>1.1755121848630234</v>
      </c>
      <c r="M130" s="61">
        <f t="shared" si="11"/>
        <v>1.8009169807976397</v>
      </c>
    </row>
    <row r="131" spans="1:13" s="62" customFormat="1" ht="18.75" customHeight="1" x14ac:dyDescent="0.3">
      <c r="A131" s="53">
        <v>125</v>
      </c>
      <c r="B131" s="54">
        <f>IF(Input_Data!B131="",NA(),Input_Data!B131)</f>
        <v>36760</v>
      </c>
      <c r="C131" s="55" t="str">
        <f>IF(Input_Data!C131="",NA(),Input_Data!C131)</f>
        <v>Seis 8</v>
      </c>
      <c r="D131" s="56">
        <f>IF(Input_Data!D131="",NA(),CONVERT(Input_Data!D131,"ft","m"))</f>
        <v>156.05760000000001</v>
      </c>
      <c r="E131" s="57">
        <f>IF(Input_Data!E131="",NA(),CONVERT(Input_Data!E131,"lbm","g")/1000)</f>
        <v>151.49985158000001</v>
      </c>
      <c r="F131" s="58">
        <f>IF(Input_Data!F131="",NA(),CONVERT(Input_Data!F131,"in","m")*1000)</f>
        <v>51.816000000000003</v>
      </c>
      <c r="G131" s="58">
        <f>IF(Input_Data!K131="",NA(),CONVERT(Input_Data!K131,"psi","Pa"))</f>
        <v>31.689616303081074</v>
      </c>
      <c r="H131" s="59">
        <f t="shared" si="6"/>
        <v>12.678819524399044</v>
      </c>
      <c r="I131" s="60">
        <f t="shared" si="7"/>
        <v>1.1030788199569663</v>
      </c>
      <c r="J131" s="59">
        <f t="shared" si="8"/>
        <v>1.7144638840458368</v>
      </c>
      <c r="K131" s="59">
        <f t="shared" si="9"/>
        <v>29.273918170944629</v>
      </c>
      <c r="L131" s="61">
        <f t="shared" si="10"/>
        <v>1.4664808545191088</v>
      </c>
      <c r="M131" s="61">
        <f t="shared" si="11"/>
        <v>1.5009169807976395</v>
      </c>
    </row>
    <row r="132" spans="1:13" s="62" customFormat="1" ht="18.75" customHeight="1" x14ac:dyDescent="0.3">
      <c r="A132" s="53">
        <v>126</v>
      </c>
      <c r="B132" s="54">
        <f>IF(Input_Data!B132="",NA(),Input_Data!B132)</f>
        <v>36760</v>
      </c>
      <c r="C132" s="55" t="str">
        <f>IF(Input_Data!C132="",NA(),Input_Data!C132)</f>
        <v>Seis 9</v>
      </c>
      <c r="D132" s="56">
        <f>IF(Input_Data!D132="",NA(),CONVERT(Input_Data!D132,"ft","m"))</f>
        <v>284.988</v>
      </c>
      <c r="E132" s="57">
        <f>IF(Input_Data!E132="",NA(),CONVERT(Input_Data!E132,"lbm","g")/1000)</f>
        <v>151.49985158000001</v>
      </c>
      <c r="F132" s="58">
        <f>IF(Input_Data!F132="",NA(),CONVERT(Input_Data!F132,"in","m")*1000)</f>
        <v>17.017999999999997</v>
      </c>
      <c r="G132" s="58">
        <f>IF(Input_Data!K132="",NA(),CONVERT(Input_Data!K132,"psi","Pa"))</f>
        <v>17.820380826648311</v>
      </c>
      <c r="H132" s="59">
        <f t="shared" si="6"/>
        <v>23.153703623658409</v>
      </c>
      <c r="I132" s="60">
        <f t="shared" si="7"/>
        <v>1.3646204698536533</v>
      </c>
      <c r="J132" s="59">
        <f t="shared" si="8"/>
        <v>1.2309085193207645</v>
      </c>
      <c r="K132" s="59">
        <f t="shared" si="9"/>
        <v>53.459206034830522</v>
      </c>
      <c r="L132" s="61">
        <f t="shared" si="10"/>
        <v>1.7280225044157957</v>
      </c>
      <c r="M132" s="61">
        <f t="shared" si="11"/>
        <v>1.2509169807976397</v>
      </c>
    </row>
    <row r="133" spans="1:13" s="62" customFormat="1" ht="18.75" customHeight="1" x14ac:dyDescent="0.3">
      <c r="A133" s="53">
        <v>127</v>
      </c>
      <c r="B133" s="54">
        <f>IF(Input_Data!B133="",NA(),Input_Data!B133)</f>
        <v>36760</v>
      </c>
      <c r="C133" s="55" t="str">
        <f>IF(Input_Data!C133="",NA(),Input_Data!C133)</f>
        <v>Seis 10</v>
      </c>
      <c r="D133" s="56">
        <f>IF(Input_Data!D133="",NA(),CONVERT(Input_Data!D133,"ft","m"))</f>
        <v>416.66160000000002</v>
      </c>
      <c r="E133" s="57">
        <f>IF(Input_Data!E133="",NA(),CONVERT(Input_Data!E133,"lbm","g")/1000)</f>
        <v>151.49985158000001</v>
      </c>
      <c r="F133" s="58">
        <f>IF(Input_Data!F133="",NA(),CONVERT(Input_Data!F133,"in","m")*1000)</f>
        <v>10.668000000000001</v>
      </c>
      <c r="G133" s="58">
        <f>IF(Input_Data!K133="",NA(),CONVERT(Input_Data!K133,"psi","Pa"))</f>
        <v>17.820380826648311</v>
      </c>
      <c r="H133" s="59">
        <f t="shared" si="6"/>
        <v>33.851457597370107</v>
      </c>
      <c r="I133" s="60">
        <f t="shared" si="7"/>
        <v>1.529577373548958</v>
      </c>
      <c r="J133" s="59">
        <f t="shared" si="8"/>
        <v>1.0280830070178386</v>
      </c>
      <c r="K133" s="59">
        <f t="shared" si="9"/>
        <v>78.15907449156505</v>
      </c>
      <c r="L133" s="61">
        <f t="shared" si="10"/>
        <v>1.8929794081111002</v>
      </c>
      <c r="M133" s="61">
        <f t="shared" si="11"/>
        <v>1.2509169807976397</v>
      </c>
    </row>
    <row r="134" spans="1:13" s="62" customFormat="1" ht="18.75" customHeight="1" x14ac:dyDescent="0.3">
      <c r="A134" s="53">
        <v>128</v>
      </c>
      <c r="B134" s="54">
        <f>IF(Input_Data!B134="",NA(),Input_Data!B134)</f>
        <v>36760</v>
      </c>
      <c r="C134" s="55" t="str">
        <f>IF(Input_Data!C134="",NA(),Input_Data!C134)</f>
        <v>Seis 11</v>
      </c>
      <c r="D134" s="56">
        <f>IF(Input_Data!D134="",NA(),CONVERT(Input_Data!D134,"ft","m"))</f>
        <v>517.55039999999997</v>
      </c>
      <c r="E134" s="57">
        <f>IF(Input_Data!E134="",NA(),CONVERT(Input_Data!E134,"lbm","g")/1000)</f>
        <v>151.49985158000001</v>
      </c>
      <c r="F134" s="58">
        <f>IF(Input_Data!F134="",NA(),CONVERT(Input_Data!F134,"in","m")*1000)</f>
        <v>8.89</v>
      </c>
      <c r="G134" s="58">
        <f>IF(Input_Data!K134="",NA(),CONVERT(Input_Data!K134,"psi","Pa"))</f>
        <v>12.615863482345585</v>
      </c>
      <c r="H134" s="59">
        <f t="shared" si="6"/>
        <v>42.048116313339015</v>
      </c>
      <c r="I134" s="60">
        <f t="shared" si="7"/>
        <v>1.6237465448890693</v>
      </c>
      <c r="J134" s="59">
        <f t="shared" si="8"/>
        <v>0.94890176097021373</v>
      </c>
      <c r="K134" s="59">
        <f t="shared" si="9"/>
        <v>97.084205184109322</v>
      </c>
      <c r="L134" s="61">
        <f t="shared" si="10"/>
        <v>1.9871485794512118</v>
      </c>
      <c r="M134" s="61">
        <f t="shared" si="11"/>
        <v>1.1009169807976396</v>
      </c>
    </row>
    <row r="135" spans="1:13" s="62" customFormat="1" ht="18.75" customHeight="1" x14ac:dyDescent="0.3">
      <c r="A135" s="53">
        <v>129</v>
      </c>
      <c r="B135" s="54">
        <f>IF(Input_Data!B135="",NA(),Input_Data!B135)</f>
        <v>36760</v>
      </c>
      <c r="C135" s="55" t="str">
        <f>IF(Input_Data!C135="",NA(),Input_Data!C135)</f>
        <v>Seis 12</v>
      </c>
      <c r="D135" s="56">
        <f>IF(Input_Data!D135="",NA(),CONVERT(Input_Data!D135,"ft","m"))</f>
        <v>627.88800000000003</v>
      </c>
      <c r="E135" s="57">
        <f>IF(Input_Data!E135="",NA(),CONVERT(Input_Data!E135,"lbm","g")/1000)</f>
        <v>151.49985158000001</v>
      </c>
      <c r="F135" s="58">
        <f>IF(Input_Data!F135="",NA(),CONVERT(Input_Data!F135,"in","m")*1000)</f>
        <v>4.3179999999999996</v>
      </c>
      <c r="G135" s="58">
        <f>IF(Input_Data!K135="",NA(),CONVERT(Input_Data!K135,"psi","Pa"))</f>
        <v>7.9600717211454013</v>
      </c>
      <c r="H135" s="59">
        <f t="shared" si="6"/>
        <v>51.012437930199283</v>
      </c>
      <c r="I135" s="60">
        <f t="shared" si="7"/>
        <v>1.707676079350289</v>
      </c>
      <c r="J135" s="59">
        <f t="shared" si="8"/>
        <v>0.63528263799821194</v>
      </c>
      <c r="K135" s="59">
        <f t="shared" si="9"/>
        <v>117.78178014091003</v>
      </c>
      <c r="L135" s="61">
        <f t="shared" si="10"/>
        <v>2.0710781139124315</v>
      </c>
      <c r="M135" s="61">
        <f t="shared" si="11"/>
        <v>0.90091698079763882</v>
      </c>
    </row>
    <row r="136" spans="1:13" s="62" customFormat="1" ht="18.75" customHeight="1" x14ac:dyDescent="0.3">
      <c r="A136" s="53">
        <v>130</v>
      </c>
      <c r="B136" s="54">
        <f>IF(Input_Data!B136="",NA(),Input_Data!B136)</f>
        <v>36760</v>
      </c>
      <c r="C136" s="55" t="str">
        <f>IF(Input_Data!C136="",NA(),Input_Data!C136)</f>
        <v>Seis 13</v>
      </c>
      <c r="D136" s="56">
        <f>IF(Input_Data!D136="",NA(),CONVERT(Input_Data!D136,"ft","m"))</f>
        <v>915.61919999999998</v>
      </c>
      <c r="E136" s="57">
        <f>IF(Input_Data!E136="",NA(),CONVERT(Input_Data!E136,"lbm","g")/1000)</f>
        <v>151.49985158000001</v>
      </c>
      <c r="F136" s="58">
        <f>IF(Input_Data!F136="",NA(),CONVERT(Input_Data!F136,"in","m")*1000)</f>
        <v>3.048</v>
      </c>
      <c r="G136" s="58">
        <f>IF(Input_Data!K136="",NA(),CONVERT(Input_Data!K136,"psi","Pa"))</f>
        <v>3.9894863253955477</v>
      </c>
      <c r="H136" s="59">
        <f t="shared" ref="H136:H199" si="12">IF(OR(D136="",E136=""),NA(),D136/(E136^0.5))</f>
        <v>74.389011428310013</v>
      </c>
      <c r="I136" s="60">
        <f t="shared" ref="I136:I199" si="13">IFERROR(LOG(H136),NA())</f>
        <v>1.8715087873132663</v>
      </c>
      <c r="J136" s="59">
        <f t="shared" ref="J136:J199" si="14">IFERROR(LOG(F136),NA())</f>
        <v>0.48401496266756289</v>
      </c>
      <c r="K136" s="59">
        <f t="shared" ref="K136:K199" si="15">IF(OR(D136="",E136=""),NA(),D136/(E136^(1/3)))</f>
        <v>171.75556676858918</v>
      </c>
      <c r="L136" s="61">
        <f t="shared" ref="L136:L199" si="16">IFERROR(LOG(K136),NA())</f>
        <v>2.2349108218754088</v>
      </c>
      <c r="M136" s="61">
        <f t="shared" ref="M136:M199" si="17">IFERROR(LOG(G136),NA())</f>
        <v>0.60091698079763922</v>
      </c>
    </row>
    <row r="137" spans="1:13" s="62" customFormat="1" ht="18.75" customHeight="1" x14ac:dyDescent="0.3">
      <c r="A137" s="53">
        <v>131</v>
      </c>
      <c r="B137" s="54">
        <f>IF(Input_Data!B137="",NA(),Input_Data!B137)</f>
        <v>36760</v>
      </c>
      <c r="C137" s="55" t="str">
        <f>IF(Input_Data!C137="",NA(),Input_Data!C137)</f>
        <v>Seis 13 A</v>
      </c>
      <c r="D137" s="56">
        <f>IF(Input_Data!D137="",NA(),CONVERT(Input_Data!D137,"ft","m"))</f>
        <v>1129.5888</v>
      </c>
      <c r="E137" s="57">
        <f>IF(Input_Data!E137="",NA(),CONVERT(Input_Data!E137,"lbm","g")/1000)</f>
        <v>151.49985158000001</v>
      </c>
      <c r="F137" s="58">
        <f>IF(Input_Data!F137="",NA(),CONVERT(Input_Data!F137,"in","m")*1000)</f>
        <v>1.27</v>
      </c>
      <c r="G137" s="58">
        <f>IF(Input_Data!K137="",NA(),CONVERT(Input_Data!K137,"psi","Pa"))</f>
        <v>3.9894863253955477</v>
      </c>
      <c r="H137" s="59">
        <f t="shared" si="12"/>
        <v>91.772861635591511</v>
      </c>
      <c r="I137" s="60">
        <f t="shared" si="13"/>
        <v>1.9627142739640142</v>
      </c>
      <c r="J137" s="59">
        <f t="shared" si="14"/>
        <v>0.10380372095595687</v>
      </c>
      <c r="K137" s="59">
        <f t="shared" si="15"/>
        <v>211.89285301078277</v>
      </c>
      <c r="L137" s="61">
        <f t="shared" si="16"/>
        <v>2.3261163085261569</v>
      </c>
      <c r="M137" s="61">
        <f t="shared" si="17"/>
        <v>0.60091698079763922</v>
      </c>
    </row>
    <row r="138" spans="1:13" s="62" customFormat="1" ht="18.75" customHeight="1" x14ac:dyDescent="0.3">
      <c r="A138" s="53">
        <v>132</v>
      </c>
      <c r="B138" s="54">
        <f>IF(Input_Data!B138="",NA(),Input_Data!B138)</f>
        <v>37130</v>
      </c>
      <c r="C138" s="55" t="str">
        <f>IF(Input_Data!C138="",NA(),Input_Data!C138)</f>
        <v>Seis 1A</v>
      </c>
      <c r="D138" s="56">
        <f>IF(Input_Data!D138="",NA(),CONVERT(Input_Data!D138,"ft","m"))</f>
        <v>15.24</v>
      </c>
      <c r="E138" s="57">
        <f>IF(Input_Data!E138="",NA(),CONVERT(Input_Data!E138,"lbm","g")/1000)</f>
        <v>195.49831147</v>
      </c>
      <c r="F138" s="58">
        <f>IF(Input_Data!F138="",NA(),CONVERT(Input_Data!F138,"in","m")*1000)</f>
        <v>201.16800000000001</v>
      </c>
      <c r="G138" s="58">
        <f>IF(Input_Data!K138="",NA(),CONVERT(Input_Data!K138,"psi","Pa"))</f>
        <v>199.94796150188247</v>
      </c>
      <c r="H138" s="59">
        <f t="shared" si="12"/>
        <v>1.0899672817587922</v>
      </c>
      <c r="I138" s="60">
        <f t="shared" si="13"/>
        <v>3.7413461642570825E-2</v>
      </c>
      <c r="J138" s="59">
        <f t="shared" si="14"/>
        <v>2.3035588982094315</v>
      </c>
      <c r="K138" s="59">
        <f t="shared" si="15"/>
        <v>2.6258543317039869</v>
      </c>
      <c r="L138" s="61">
        <f t="shared" si="16"/>
        <v>0.4192706300962411</v>
      </c>
      <c r="M138" s="61">
        <f t="shared" si="17"/>
        <v>2.3009169807976391</v>
      </c>
    </row>
    <row r="139" spans="1:13" s="62" customFormat="1" ht="18.75" customHeight="1" x14ac:dyDescent="0.3">
      <c r="A139" s="53">
        <v>133</v>
      </c>
      <c r="B139" s="54">
        <f>IF(Input_Data!B139="",NA(),Input_Data!B139)</f>
        <v>37130</v>
      </c>
      <c r="C139" s="55" t="str">
        <f>IF(Input_Data!C139="",NA(),Input_Data!C139)</f>
        <v>Seis 2</v>
      </c>
      <c r="D139" s="56">
        <f>IF(Input_Data!D139="",NA(),CONVERT(Input_Data!D139,"ft","m"))</f>
        <v>160.93440000000001</v>
      </c>
      <c r="E139" s="57">
        <f>IF(Input_Data!E139="",NA(),CONVERT(Input_Data!E139,"lbm","g")/1000)</f>
        <v>195.49831147</v>
      </c>
      <c r="F139" s="58">
        <f>IF(Input_Data!F139="",NA(),CONVERT(Input_Data!F139,"in","m")*1000)</f>
        <v>22.352</v>
      </c>
      <c r="G139" s="58">
        <f>IF(Input_Data!K139="",NA(),CONVERT(Input_Data!K139,"psi","Pa"))</f>
        <v>50.224657150457986</v>
      </c>
      <c r="H139" s="59">
        <f t="shared" si="12"/>
        <v>11.510054495372847</v>
      </c>
      <c r="I139" s="60">
        <f t="shared" si="13"/>
        <v>1.0610773798403643</v>
      </c>
      <c r="J139" s="59">
        <f t="shared" si="14"/>
        <v>1.3493163887701067</v>
      </c>
      <c r="K139" s="59">
        <f t="shared" si="15"/>
        <v>27.729021742794103</v>
      </c>
      <c r="L139" s="61">
        <f t="shared" si="16"/>
        <v>1.4429345482940346</v>
      </c>
      <c r="M139" s="61">
        <f t="shared" si="17"/>
        <v>1.7009169807976401</v>
      </c>
    </row>
    <row r="140" spans="1:13" s="62" customFormat="1" ht="18.75" customHeight="1" x14ac:dyDescent="0.3">
      <c r="A140" s="53">
        <v>134</v>
      </c>
      <c r="B140" s="54">
        <f>IF(Input_Data!B140="",NA(),Input_Data!B140)</f>
        <v>37130</v>
      </c>
      <c r="C140" s="55" t="str">
        <f>IF(Input_Data!C140="",NA(),Input_Data!C140)</f>
        <v>Seis 3</v>
      </c>
      <c r="D140" s="56">
        <f>IF(Input_Data!D140="",NA(),CONVERT(Input_Data!D140,"ft","m"))</f>
        <v>257.25119999999998</v>
      </c>
      <c r="E140" s="57">
        <f>IF(Input_Data!E140="",NA(),CONVERT(Input_Data!E140,"lbm","g")/1000)</f>
        <v>195.49831147</v>
      </c>
      <c r="F140" s="58">
        <f>IF(Input_Data!F140="",NA(),CONVERT(Input_Data!F140,"in","m")*1000)</f>
        <v>17.017999999999997</v>
      </c>
      <c r="G140" s="58">
        <f>IF(Input_Data!K140="",NA(),CONVERT(Input_Data!K140,"psi","Pa"))</f>
        <v>25.171956977116178</v>
      </c>
      <c r="H140" s="59">
        <f t="shared" si="12"/>
        <v>18.398647716088412</v>
      </c>
      <c r="I140" s="60">
        <f t="shared" si="13"/>
        <v>1.2647859039322071</v>
      </c>
      <c r="J140" s="59">
        <f t="shared" si="14"/>
        <v>1.2309085193207645</v>
      </c>
      <c r="K140" s="59">
        <f t="shared" si="15"/>
        <v>44.324421119163297</v>
      </c>
      <c r="L140" s="61">
        <f t="shared" si="16"/>
        <v>1.6466430723858774</v>
      </c>
      <c r="M140" s="61">
        <f t="shared" si="17"/>
        <v>1.4009169807976389</v>
      </c>
    </row>
    <row r="141" spans="1:13" s="62" customFormat="1" ht="18.75" customHeight="1" x14ac:dyDescent="0.3">
      <c r="A141" s="53">
        <v>135</v>
      </c>
      <c r="B141" s="54">
        <f>IF(Input_Data!B141="",NA(),Input_Data!B141)</f>
        <v>37130</v>
      </c>
      <c r="C141" s="55" t="str">
        <f>IF(Input_Data!C141="",NA(),Input_Data!C141)</f>
        <v>Seis 4</v>
      </c>
      <c r="D141" s="56">
        <f>IF(Input_Data!D141="",NA(),CONVERT(Input_Data!D141,"ft","m"))</f>
        <v>418.49040000000002</v>
      </c>
      <c r="E141" s="57">
        <f>IF(Input_Data!E141="",NA(),CONVERT(Input_Data!E141,"lbm","g")/1000)</f>
        <v>195.49831147</v>
      </c>
      <c r="F141" s="58">
        <f>IF(Input_Data!F141="",NA(),CONVERT(Input_Data!F141,"in","m")*1000)</f>
        <v>9.3979999999999997</v>
      </c>
      <c r="G141" s="58">
        <f>IF(Input_Data!K141="",NA(),CONVERT(Input_Data!K141,"psi","Pa"))</f>
        <v>15.882431129650927</v>
      </c>
      <c r="H141" s="59">
        <f t="shared" si="12"/>
        <v>29.930501557096434</v>
      </c>
      <c r="I141" s="60">
        <f t="shared" si="13"/>
        <v>1.4761139945433071</v>
      </c>
      <c r="J141" s="59">
        <f t="shared" si="14"/>
        <v>0.97303544068693304</v>
      </c>
      <c r="K141" s="59">
        <f t="shared" si="15"/>
        <v>72.10595994859149</v>
      </c>
      <c r="L141" s="61">
        <f t="shared" si="16"/>
        <v>1.8579711629969775</v>
      </c>
      <c r="M141" s="61">
        <f t="shared" si="17"/>
        <v>1.2009169807976399</v>
      </c>
    </row>
    <row r="142" spans="1:13" s="62" customFormat="1" ht="18.75" customHeight="1" x14ac:dyDescent="0.3">
      <c r="A142" s="53">
        <v>136</v>
      </c>
      <c r="B142" s="54">
        <f>IF(Input_Data!B142="",NA(),Input_Data!B142)</f>
        <v>37130</v>
      </c>
      <c r="C142" s="55" t="str">
        <f>IF(Input_Data!C142="",NA(),Input_Data!C142)</f>
        <v>Seis 5 A</v>
      </c>
      <c r="D142" s="56">
        <f>IF(Input_Data!D142="",NA(),CONVERT(Input_Data!D142,"ft","m"))</f>
        <v>595.57920000000001</v>
      </c>
      <c r="E142" s="57">
        <f>IF(Input_Data!E142="",NA(),CONVERT(Input_Data!E142,"lbm","g")/1000)</f>
        <v>195.49831147</v>
      </c>
      <c r="F142" s="58">
        <f>IF(Input_Data!F142="",NA(),CONVERT(Input_Data!F142,"in","m")*1000)</f>
        <v>9.1440000000000001</v>
      </c>
      <c r="G142" s="58">
        <f>IF(Input_Data!K142="",NA(),CONVERT(Input_Data!K142,"psi","Pa"))</f>
        <v>17.820380826648311</v>
      </c>
      <c r="H142" s="59">
        <f t="shared" si="12"/>
        <v>42.595921371133599</v>
      </c>
      <c r="I142" s="60">
        <f t="shared" si="13"/>
        <v>1.6293680166893063</v>
      </c>
      <c r="J142" s="59">
        <f t="shared" si="14"/>
        <v>0.96113621738722532</v>
      </c>
      <c r="K142" s="59">
        <f t="shared" si="15"/>
        <v>102.6183872829918</v>
      </c>
      <c r="L142" s="61">
        <f t="shared" si="16"/>
        <v>2.0112251851429765</v>
      </c>
      <c r="M142" s="61">
        <f t="shared" si="17"/>
        <v>1.2509169807976397</v>
      </c>
    </row>
    <row r="143" spans="1:13" s="62" customFormat="1" ht="18.75" customHeight="1" x14ac:dyDescent="0.3">
      <c r="A143" s="53">
        <v>137</v>
      </c>
      <c r="B143" s="54">
        <f>IF(Input_Data!B143="",NA(),Input_Data!B143)</f>
        <v>37130</v>
      </c>
      <c r="C143" s="55" t="str">
        <f>IF(Input_Data!C143="",NA(),Input_Data!C143)</f>
        <v>Seis 5</v>
      </c>
      <c r="D143" s="56">
        <f>IF(Input_Data!D143="",NA(),CONVERT(Input_Data!D143,"ft","m"))</f>
        <v>611.42880000000002</v>
      </c>
      <c r="E143" s="57">
        <f>IF(Input_Data!E143="",NA(),CONVERT(Input_Data!E143,"lbm","g")/1000)</f>
        <v>195.49831147</v>
      </c>
      <c r="F143" s="58">
        <f>IF(Input_Data!F143="",NA(),CONVERT(Input_Data!F143,"in","m")*1000)</f>
        <v>10.16</v>
      </c>
      <c r="G143" s="58">
        <f>IF(Input_Data!K143="",NA(),CONVERT(Input_Data!K143,"psi","Pa"))</f>
        <v>12.615863482345585</v>
      </c>
      <c r="H143" s="59">
        <f t="shared" si="12"/>
        <v>43.729487344162742</v>
      </c>
      <c r="I143" s="60">
        <f t="shared" si="13"/>
        <v>1.6407743859909514</v>
      </c>
      <c r="J143" s="59">
        <f t="shared" si="14"/>
        <v>1.0068937079479006</v>
      </c>
      <c r="K143" s="59">
        <f t="shared" si="15"/>
        <v>105.34927578796396</v>
      </c>
      <c r="L143" s="61">
        <f t="shared" si="16"/>
        <v>2.0226315544446218</v>
      </c>
      <c r="M143" s="61">
        <f t="shared" si="17"/>
        <v>1.1009169807976396</v>
      </c>
    </row>
    <row r="144" spans="1:13" s="62" customFormat="1" ht="18.75" customHeight="1" x14ac:dyDescent="0.3">
      <c r="A144" s="53">
        <v>138</v>
      </c>
      <c r="B144" s="54">
        <f>IF(Input_Data!B144="",NA(),Input_Data!B144)</f>
        <v>37130</v>
      </c>
      <c r="C144" s="55" t="str">
        <f>IF(Input_Data!C144="",NA(),Input_Data!C144)</f>
        <v>Seis 6</v>
      </c>
      <c r="D144" s="56">
        <f>IF(Input_Data!D144="",NA(),CONVERT(Input_Data!D144,"ft","m"))</f>
        <v>740.05439999999999</v>
      </c>
      <c r="E144" s="57">
        <f>IF(Input_Data!E144="",NA(),CONVERT(Input_Data!E144,"lbm","g")/1000)</f>
        <v>195.49831147</v>
      </c>
      <c r="F144" s="58">
        <f>IF(Input_Data!F144="",NA(),CONVERT(Input_Data!F144,"in","m")*1000)</f>
        <v>2.794</v>
      </c>
      <c r="G144" s="58">
        <f>IF(Input_Data!K144="",NA(),CONVERT(Input_Data!K144,"psi","Pa"))</f>
        <v>10.021136569454107</v>
      </c>
      <c r="H144" s="59">
        <f t="shared" si="12"/>
        <v>52.928811202206944</v>
      </c>
      <c r="I144" s="60">
        <f t="shared" si="13"/>
        <v>1.723692139709772</v>
      </c>
      <c r="J144" s="59">
        <f t="shared" si="14"/>
        <v>0.44622640177816308</v>
      </c>
      <c r="K144" s="59">
        <f t="shared" si="15"/>
        <v>127.5114863475456</v>
      </c>
      <c r="L144" s="61">
        <f t="shared" si="16"/>
        <v>2.1055493081634422</v>
      </c>
      <c r="M144" s="61">
        <f t="shared" si="17"/>
        <v>1.0009169807976399</v>
      </c>
    </row>
    <row r="145" spans="1:13" s="62" customFormat="1" ht="18.75" customHeight="1" x14ac:dyDescent="0.3">
      <c r="A145" s="53">
        <v>139</v>
      </c>
      <c r="B145" s="54">
        <f>IF(Input_Data!B145="",NA(),Input_Data!B145)</f>
        <v>37130</v>
      </c>
      <c r="C145" s="55" t="str">
        <f>IF(Input_Data!C145="",NA(),Input_Data!C145)</f>
        <v>Seis 7</v>
      </c>
      <c r="D145" s="56">
        <f>IF(Input_Data!D145="",NA(),CONVERT(Input_Data!D145,"ft","m"))</f>
        <v>386.1816</v>
      </c>
      <c r="E145" s="57">
        <f>IF(Input_Data!E145="",NA(),CONVERT(Input_Data!E145,"lbm","g")/1000)</f>
        <v>195.49831147</v>
      </c>
      <c r="F145" s="58">
        <f>IF(Input_Data!F145="",NA(),CONVERT(Input_Data!F145,"in","m")*1000)</f>
        <v>3.3019999999999996</v>
      </c>
      <c r="G145" s="58">
        <f>IF(Input_Data!K145="",NA(),CONVERT(Input_Data!K145,"psi","Pa"))</f>
        <v>28.243400259219452</v>
      </c>
      <c r="H145" s="59">
        <f t="shared" si="12"/>
        <v>27.619770919767795</v>
      </c>
      <c r="I145" s="60">
        <f t="shared" si="13"/>
        <v>1.4412200721899933</v>
      </c>
      <c r="J145" s="59">
        <f t="shared" si="14"/>
        <v>0.51877706892677478</v>
      </c>
      <c r="K145" s="59">
        <f t="shared" si="15"/>
        <v>66.539148765379025</v>
      </c>
      <c r="L145" s="61">
        <f t="shared" si="16"/>
        <v>1.8230772406436635</v>
      </c>
      <c r="M145" s="61">
        <f t="shared" si="17"/>
        <v>1.4509169807976396</v>
      </c>
    </row>
    <row r="146" spans="1:13" s="62" customFormat="1" ht="18.75" customHeight="1" x14ac:dyDescent="0.3">
      <c r="A146" s="53">
        <v>140</v>
      </c>
      <c r="B146" s="54">
        <f>IF(Input_Data!B146="",NA(),Input_Data!B146)</f>
        <v>37130</v>
      </c>
      <c r="C146" s="55" t="str">
        <f>IF(Input_Data!C146="",NA(),Input_Data!C146)</f>
        <v>Seis 8</v>
      </c>
      <c r="D146" s="56">
        <f>IF(Input_Data!D146="",NA(),CONVERT(Input_Data!D146,"ft","m"))</f>
        <v>418.18560000000002</v>
      </c>
      <c r="E146" s="57">
        <f>IF(Input_Data!E146="",NA(),CONVERT(Input_Data!E146,"lbm","g")/1000)</f>
        <v>195.49831147</v>
      </c>
      <c r="F146" s="58">
        <f>IF(Input_Data!F146="",NA(),CONVERT(Input_Data!F146,"in","m")*1000)</f>
        <v>16.764000000000003</v>
      </c>
      <c r="G146" s="58">
        <f>IF(Input_Data!K146="",NA(),CONVERT(Input_Data!K146,"psi","Pa"))</f>
        <v>44.762772802791275</v>
      </c>
      <c r="H146" s="59">
        <f t="shared" si="12"/>
        <v>29.908702211461257</v>
      </c>
      <c r="I146" s="60">
        <f t="shared" si="13"/>
        <v>1.4757975686772848</v>
      </c>
      <c r="J146" s="59">
        <f t="shared" si="14"/>
        <v>1.2243776521618068</v>
      </c>
      <c r="K146" s="59">
        <f t="shared" si="15"/>
        <v>72.053442861957407</v>
      </c>
      <c r="L146" s="61">
        <f t="shared" si="16"/>
        <v>1.8576547371309553</v>
      </c>
      <c r="M146" s="61">
        <f t="shared" si="17"/>
        <v>1.6509169807976387</v>
      </c>
    </row>
    <row r="147" spans="1:13" s="62" customFormat="1" ht="18.75" customHeight="1" x14ac:dyDescent="0.3">
      <c r="A147" s="53">
        <v>141</v>
      </c>
      <c r="B147" s="54">
        <f>IF(Input_Data!B147="",NA(),Input_Data!B147)</f>
        <v>37130</v>
      </c>
      <c r="C147" s="55" t="str">
        <f>IF(Input_Data!C147="",NA(),Input_Data!C147)</f>
        <v>Seis 9</v>
      </c>
      <c r="D147" s="56">
        <f>IF(Input_Data!D147="",NA(),CONVERT(Input_Data!D147,"ft","m"))</f>
        <v>482.8032</v>
      </c>
      <c r="E147" s="57">
        <f>IF(Input_Data!E147="",NA(),CONVERT(Input_Data!E147,"lbm","g")/1000)</f>
        <v>195.49831147</v>
      </c>
      <c r="F147" s="58">
        <f>IF(Input_Data!F147="",NA(),CONVERT(Input_Data!F147,"in","m")*1000)</f>
        <v>5.8419999999999996</v>
      </c>
      <c r="G147" s="58">
        <f>IF(Input_Data!K147="",NA(),CONVERT(Input_Data!K147,"psi","Pa"))</f>
        <v>14.155231644145974</v>
      </c>
      <c r="H147" s="59">
        <f t="shared" si="12"/>
        <v>34.530163486118539</v>
      </c>
      <c r="I147" s="60">
        <f t="shared" si="13"/>
        <v>1.5381986345600267</v>
      </c>
      <c r="J147" s="59">
        <f t="shared" si="14"/>
        <v>0.7665615526375309</v>
      </c>
      <c r="K147" s="59">
        <f t="shared" si="15"/>
        <v>83.187065228382309</v>
      </c>
      <c r="L147" s="61">
        <f t="shared" si="16"/>
        <v>1.9200558030136969</v>
      </c>
      <c r="M147" s="61">
        <f t="shared" si="17"/>
        <v>1.1509169807976394</v>
      </c>
    </row>
    <row r="148" spans="1:13" s="62" customFormat="1" ht="18.75" customHeight="1" x14ac:dyDescent="0.3">
      <c r="A148" s="53">
        <v>142</v>
      </c>
      <c r="B148" s="54">
        <f>IF(Input_Data!B148="",NA(),Input_Data!B148)</f>
        <v>37130</v>
      </c>
      <c r="C148" s="55" t="str">
        <f>IF(Input_Data!C148="",NA(),Input_Data!C148)</f>
        <v>Seis 10</v>
      </c>
      <c r="D148" s="56">
        <f>IF(Input_Data!D148="",NA(),CONVERT(Input_Data!D148,"ft","m"))</f>
        <v>515.11199999999997</v>
      </c>
      <c r="E148" s="57">
        <f>IF(Input_Data!E148="",NA(),CONVERT(Input_Data!E148,"lbm","g")/1000)</f>
        <v>195.49831147</v>
      </c>
      <c r="F148" s="58">
        <f>IF(Input_Data!F148="",NA(),CONVERT(Input_Data!F148,"in","m")*1000)</f>
        <v>10.921999999999999</v>
      </c>
      <c r="G148" s="58">
        <f>IF(Input_Data!K148="",NA(),CONVERT(Input_Data!K148,"psi","Pa"))</f>
        <v>31.689616303081074</v>
      </c>
      <c r="H148" s="59">
        <f t="shared" si="12"/>
        <v>36.840894123447171</v>
      </c>
      <c r="I148" s="60">
        <f t="shared" si="13"/>
        <v>1.5663301619202254</v>
      </c>
      <c r="J148" s="59">
        <f t="shared" si="14"/>
        <v>1.0383021721995245</v>
      </c>
      <c r="K148" s="59">
        <f t="shared" si="15"/>
        <v>88.753876411594746</v>
      </c>
      <c r="L148" s="61">
        <f t="shared" si="16"/>
        <v>1.9481873303738957</v>
      </c>
      <c r="M148" s="61">
        <f t="shared" si="17"/>
        <v>1.5009169807976395</v>
      </c>
    </row>
    <row r="149" spans="1:13" s="62" customFormat="1" ht="18.75" customHeight="1" x14ac:dyDescent="0.3">
      <c r="A149" s="53">
        <v>143</v>
      </c>
      <c r="B149" s="54">
        <f>IF(Input_Data!B149="",NA(),Input_Data!B149)</f>
        <v>37130</v>
      </c>
      <c r="C149" s="55" t="str">
        <f>IF(Input_Data!C149="",NA(),Input_Data!C149)</f>
        <v>Seis 11</v>
      </c>
      <c r="D149" s="56">
        <f>IF(Input_Data!D149="",NA(),CONVERT(Input_Data!D149,"ft","m"))</f>
        <v>595.57920000000001</v>
      </c>
      <c r="E149" s="57">
        <f>IF(Input_Data!E149="",NA(),CONVERT(Input_Data!E149,"lbm","g")/1000)</f>
        <v>195.49831147</v>
      </c>
      <c r="F149" s="58">
        <f>IF(Input_Data!F149="",NA(),CONVERT(Input_Data!F149,"in","m")*1000)</f>
        <v>6.35</v>
      </c>
      <c r="G149" s="58">
        <f>IF(Input_Data!K149="",NA(),CONVERT(Input_Data!K149,"psi","Pa"))</f>
        <v>19.994796150188247</v>
      </c>
      <c r="H149" s="59">
        <f t="shared" si="12"/>
        <v>42.595921371133599</v>
      </c>
      <c r="I149" s="60">
        <f t="shared" si="13"/>
        <v>1.6293680166893063</v>
      </c>
      <c r="J149" s="59">
        <f t="shared" si="14"/>
        <v>0.80277372529197566</v>
      </c>
      <c r="K149" s="59">
        <f t="shared" si="15"/>
        <v>102.6183872829918</v>
      </c>
      <c r="L149" s="61">
        <f t="shared" si="16"/>
        <v>2.0112251851429765</v>
      </c>
      <c r="M149" s="61">
        <f t="shared" si="17"/>
        <v>1.3009169807976388</v>
      </c>
    </row>
    <row r="150" spans="1:13" s="62" customFormat="1" ht="18.75" customHeight="1" x14ac:dyDescent="0.3">
      <c r="A150" s="53">
        <v>144</v>
      </c>
      <c r="B150" s="54">
        <f>IF(Input_Data!B150="",NA(),Input_Data!B150)</f>
        <v>37132</v>
      </c>
      <c r="C150" s="55" t="str">
        <f>IF(Input_Data!C150="",NA(),Input_Data!C150)</f>
        <v>Seis 7</v>
      </c>
      <c r="D150" s="56">
        <f>IF(Input_Data!D150="",NA(),CONVERT(Input_Data!D150,"ft","m"))</f>
        <v>321.86880000000002</v>
      </c>
      <c r="E150" s="57">
        <f>IF(Input_Data!E150="",NA(),CONVERT(Input_Data!E150,"lbm","g")/1000)</f>
        <v>195.49831147</v>
      </c>
      <c r="F150" s="58">
        <f>IF(Input_Data!F150="",NA(),CONVERT(Input_Data!F150,"in","m")*1000)</f>
        <v>5.8419999999999996</v>
      </c>
      <c r="G150" s="58">
        <f>IF(Input_Data!K150="",NA(),CONVERT(Input_Data!K150,"psi","Pa"))</f>
        <v>28.243400259219452</v>
      </c>
      <c r="H150" s="59">
        <f t="shared" si="12"/>
        <v>23.020108990745694</v>
      </c>
      <c r="I150" s="60">
        <f t="shared" si="13"/>
        <v>1.3621073755043456</v>
      </c>
      <c r="J150" s="59">
        <f t="shared" si="14"/>
        <v>0.7665615526375309</v>
      </c>
      <c r="K150" s="59">
        <f t="shared" si="15"/>
        <v>55.458043485588206</v>
      </c>
      <c r="L150" s="61">
        <f t="shared" si="16"/>
        <v>1.7439645439580158</v>
      </c>
      <c r="M150" s="61">
        <f t="shared" si="17"/>
        <v>1.4509169807976396</v>
      </c>
    </row>
    <row r="151" spans="1:13" s="62" customFormat="1" ht="18.75" customHeight="1" x14ac:dyDescent="0.3">
      <c r="A151" s="53">
        <v>145</v>
      </c>
      <c r="B151" s="54">
        <f>IF(Input_Data!B151="",NA(),Input_Data!B151)</f>
        <v>37132</v>
      </c>
      <c r="C151" s="55" t="str">
        <f>IF(Input_Data!C151="",NA(),Input_Data!C151)</f>
        <v>Seis 8</v>
      </c>
      <c r="D151" s="56">
        <f>IF(Input_Data!D151="",NA(),CONVERT(Input_Data!D151,"ft","m"))</f>
        <v>338.02319999999997</v>
      </c>
      <c r="E151" s="57">
        <f>IF(Input_Data!E151="",NA(),CONVERT(Input_Data!E151,"lbm","g")/1000)</f>
        <v>195.49831147</v>
      </c>
      <c r="F151" s="58">
        <f>IF(Input_Data!F151="",NA(),CONVERT(Input_Data!F151,"in","m")*1000)</f>
        <v>19.05</v>
      </c>
      <c r="G151" s="58">
        <f>IF(Input_Data!K151="",NA(),CONVERT(Input_Data!K151,"psi","Pa"))</f>
        <v>15.882431129650927</v>
      </c>
      <c r="H151" s="59">
        <f t="shared" si="12"/>
        <v>24.17547430941001</v>
      </c>
      <c r="I151" s="60">
        <f t="shared" si="13"/>
        <v>1.383375003455712</v>
      </c>
      <c r="J151" s="59">
        <f t="shared" si="14"/>
        <v>1.2798949800116382</v>
      </c>
      <c r="K151" s="59">
        <f t="shared" si="15"/>
        <v>58.241449077194424</v>
      </c>
      <c r="L151" s="61">
        <f t="shared" si="16"/>
        <v>1.7652321719093822</v>
      </c>
      <c r="M151" s="61">
        <f t="shared" si="17"/>
        <v>1.2009169807976399</v>
      </c>
    </row>
    <row r="152" spans="1:13" s="62" customFormat="1" ht="18.75" customHeight="1" x14ac:dyDescent="0.3">
      <c r="A152" s="53">
        <v>146</v>
      </c>
      <c r="B152" s="54">
        <f>IF(Input_Data!B152="",NA(),Input_Data!B152)</f>
        <v>37132</v>
      </c>
      <c r="C152" s="55" t="str">
        <f>IF(Input_Data!C152="",NA(),Input_Data!C152)</f>
        <v>Seis 9</v>
      </c>
      <c r="D152" s="56">
        <f>IF(Input_Data!D152="",NA(),CONVERT(Input_Data!D152,"ft","m"))</f>
        <v>402.33600000000001</v>
      </c>
      <c r="E152" s="57">
        <f>IF(Input_Data!E152="",NA(),CONVERT(Input_Data!E152,"lbm","g")/1000)</f>
        <v>195.49831147</v>
      </c>
      <c r="F152" s="58">
        <f>IF(Input_Data!F152="",NA(),CONVERT(Input_Data!F152,"in","m")*1000)</f>
        <v>5.8419999999999996</v>
      </c>
      <c r="G152" s="58">
        <f>IF(Input_Data!K152="",NA(),CONVERT(Input_Data!K152,"psi","Pa"))</f>
        <v>12.615863482345585</v>
      </c>
      <c r="H152" s="59">
        <f t="shared" si="12"/>
        <v>28.775136238432115</v>
      </c>
      <c r="I152" s="60">
        <f t="shared" si="13"/>
        <v>1.4590173885124018</v>
      </c>
      <c r="J152" s="59">
        <f t="shared" si="14"/>
        <v>0.7665615526375309</v>
      </c>
      <c r="K152" s="59">
        <f t="shared" si="15"/>
        <v>69.32255435698525</v>
      </c>
      <c r="L152" s="61">
        <f t="shared" si="16"/>
        <v>1.8408745569660721</v>
      </c>
      <c r="M152" s="61">
        <f t="shared" si="17"/>
        <v>1.1009169807976396</v>
      </c>
    </row>
    <row r="153" spans="1:13" s="62" customFormat="1" ht="18.75" customHeight="1" x14ac:dyDescent="0.3">
      <c r="A153" s="53">
        <v>147</v>
      </c>
      <c r="B153" s="54">
        <f>IF(Input_Data!B153="",NA(),Input_Data!B153)</f>
        <v>37132</v>
      </c>
      <c r="C153" s="55" t="str">
        <f>IF(Input_Data!C153="",NA(),Input_Data!C153)</f>
        <v>Seis 10</v>
      </c>
      <c r="D153" s="56">
        <f>IF(Input_Data!D153="",NA(),CONVERT(Input_Data!D153,"ft","m"))</f>
        <v>482.8032</v>
      </c>
      <c r="E153" s="57">
        <f>IF(Input_Data!E153="",NA(),CONVERT(Input_Data!E153,"lbm","g")/1000)</f>
        <v>195.49831147</v>
      </c>
      <c r="F153" s="58">
        <f>IF(Input_Data!F153="",NA(),CONVERT(Input_Data!F153,"in","m")*1000)</f>
        <v>5.3340000000000005</v>
      </c>
      <c r="G153" s="58">
        <f>IF(Input_Data!K153="",NA(),CONVERT(Input_Data!K153,"psi","Pa"))</f>
        <v>12.615863482345585</v>
      </c>
      <c r="H153" s="59">
        <f t="shared" si="12"/>
        <v>34.530163486118539</v>
      </c>
      <c r="I153" s="60">
        <f t="shared" si="13"/>
        <v>1.5381986345600267</v>
      </c>
      <c r="J153" s="59">
        <f t="shared" si="14"/>
        <v>0.72705301135385736</v>
      </c>
      <c r="K153" s="59">
        <f t="shared" si="15"/>
        <v>83.187065228382309</v>
      </c>
      <c r="L153" s="61">
        <f t="shared" si="16"/>
        <v>1.9200558030136969</v>
      </c>
      <c r="M153" s="61">
        <f t="shared" si="17"/>
        <v>1.1009169807976396</v>
      </c>
    </row>
    <row r="154" spans="1:13" s="62" customFormat="1" ht="18.75" customHeight="1" x14ac:dyDescent="0.3">
      <c r="A154" s="53">
        <v>148</v>
      </c>
      <c r="B154" s="54">
        <f>IF(Input_Data!B154="",NA(),Input_Data!B154)</f>
        <v>37132</v>
      </c>
      <c r="C154" s="55" t="str">
        <f>IF(Input_Data!C154="",NA(),Input_Data!C154)</f>
        <v>Seis 11</v>
      </c>
      <c r="D154" s="56">
        <f>IF(Input_Data!D154="",NA(),CONVERT(Input_Data!D154,"ft","m"))</f>
        <v>532.79039999999998</v>
      </c>
      <c r="E154" s="57">
        <f>IF(Input_Data!E154="",NA(),CONVERT(Input_Data!E154,"lbm","g")/1000)</f>
        <v>195.49831147</v>
      </c>
      <c r="F154" s="58">
        <f>IF(Input_Data!F154="",NA(),CONVERT(Input_Data!F154,"in","m")*1000)</f>
        <v>3.81</v>
      </c>
      <c r="G154" s="58">
        <f>IF(Input_Data!K154="",NA(),CONVERT(Input_Data!K154,"psi","Pa"))</f>
        <v>10.021136569454107</v>
      </c>
      <c r="H154" s="59">
        <f t="shared" si="12"/>
        <v>38.105256170287376</v>
      </c>
      <c r="I154" s="60">
        <f t="shared" si="13"/>
        <v>1.5809848856049362</v>
      </c>
      <c r="J154" s="59">
        <f t="shared" si="14"/>
        <v>0.58092497567561929</v>
      </c>
      <c r="K154" s="59">
        <f t="shared" si="15"/>
        <v>91.799867436371372</v>
      </c>
      <c r="L154" s="61">
        <f t="shared" si="16"/>
        <v>1.9628420540586065</v>
      </c>
      <c r="M154" s="61">
        <f t="shared" si="17"/>
        <v>1.0009169807976399</v>
      </c>
    </row>
    <row r="155" spans="1:13" s="62" customFormat="1" ht="18.75" customHeight="1" x14ac:dyDescent="0.3">
      <c r="A155" s="53">
        <v>149</v>
      </c>
      <c r="B155" s="54">
        <f>IF(Input_Data!B155="",NA(),Input_Data!B155)</f>
        <v>37132</v>
      </c>
      <c r="C155" s="55" t="str">
        <f>IF(Input_Data!C155="",NA(),Input_Data!C155)</f>
        <v>Seis 1A</v>
      </c>
      <c r="D155" s="56">
        <f>IF(Input_Data!D155="",NA(),CONVERT(Input_Data!D155,"ft","m"))</f>
        <v>15.24</v>
      </c>
      <c r="E155" s="57">
        <f>IF(Input_Data!E155="",NA(),CONVERT(Input_Data!E155,"lbm","g")/1000)</f>
        <v>189.60161066000001</v>
      </c>
      <c r="F155" s="58">
        <f>IF(Input_Data!F155="",NA(),CONVERT(Input_Data!F155,"in","m")*1000)</f>
        <v>233.68</v>
      </c>
      <c r="G155" s="58">
        <f>IF(Input_Data!K155="",NA(),CONVERT(Input_Data!K155,"psi","Pa"))</f>
        <v>126.15863482345578</v>
      </c>
      <c r="H155" s="59">
        <f t="shared" si="12"/>
        <v>1.1067867615495759</v>
      </c>
      <c r="I155" s="60">
        <f t="shared" si="13"/>
        <v>4.4063955835419021E-2</v>
      </c>
      <c r="J155" s="59">
        <f t="shared" si="14"/>
        <v>2.3686215439654932</v>
      </c>
      <c r="K155" s="59">
        <f t="shared" si="15"/>
        <v>2.6527986807380857</v>
      </c>
      <c r="L155" s="61">
        <f t="shared" si="16"/>
        <v>0.42370429289147327</v>
      </c>
      <c r="M155" s="61">
        <f t="shared" si="17"/>
        <v>2.1009169807976393</v>
      </c>
    </row>
    <row r="156" spans="1:13" s="62" customFormat="1" ht="18.75" customHeight="1" x14ac:dyDescent="0.3">
      <c r="A156" s="53">
        <v>150</v>
      </c>
      <c r="B156" s="54">
        <f>IF(Input_Data!B156="",NA(),Input_Data!B156)</f>
        <v>37132</v>
      </c>
      <c r="C156" s="55" t="str">
        <f>IF(Input_Data!C156="",NA(),Input_Data!C156)</f>
        <v>Seis 2</v>
      </c>
      <c r="D156" s="56">
        <f>IF(Input_Data!D156="",NA(),CONVERT(Input_Data!D156,"ft","m"))</f>
        <v>195.9864</v>
      </c>
      <c r="E156" s="57">
        <f>IF(Input_Data!E156="",NA(),CONVERT(Input_Data!E156,"lbm","g")/1000)</f>
        <v>189.60161066000001</v>
      </c>
      <c r="F156" s="58">
        <f>IF(Input_Data!F156="",NA(),CONVERT(Input_Data!F156,"in","m")*1000)</f>
        <v>11.938000000000001</v>
      </c>
      <c r="G156" s="58">
        <f>IF(Input_Data!K156="",NA(),CONVERT(Input_Data!K156,"psi","Pa"))</f>
        <v>63.229097185361127</v>
      </c>
      <c r="H156" s="59">
        <f t="shared" si="12"/>
        <v>14.233277753527545</v>
      </c>
      <c r="I156" s="60">
        <f t="shared" si="13"/>
        <v>1.1533049244236222</v>
      </c>
      <c r="J156" s="59">
        <f t="shared" si="14"/>
        <v>1.0769315745556556</v>
      </c>
      <c r="K156" s="59">
        <f t="shared" si="15"/>
        <v>34.114991034291783</v>
      </c>
      <c r="L156" s="61">
        <f t="shared" si="16"/>
        <v>1.5329452614796766</v>
      </c>
      <c r="M156" s="61">
        <f t="shared" si="17"/>
        <v>1.8009169807976397</v>
      </c>
    </row>
    <row r="157" spans="1:13" s="62" customFormat="1" ht="18.75" customHeight="1" x14ac:dyDescent="0.3">
      <c r="A157" s="53">
        <v>151</v>
      </c>
      <c r="B157" s="54">
        <f>IF(Input_Data!B157="",NA(),Input_Data!B157)</f>
        <v>37132</v>
      </c>
      <c r="C157" s="55" t="str">
        <f>IF(Input_Data!C157="",NA(),Input_Data!C157)</f>
        <v>Seis 3</v>
      </c>
      <c r="D157" s="56">
        <f>IF(Input_Data!D157="",NA(),CONVERT(Input_Data!D157,"ft","m"))</f>
        <v>289.56</v>
      </c>
      <c r="E157" s="57">
        <f>IF(Input_Data!E157="",NA(),CONVERT(Input_Data!E157,"lbm","g")/1000)</f>
        <v>189.60161066000001</v>
      </c>
      <c r="F157" s="58">
        <f>IF(Input_Data!F157="",NA(),CONVERT(Input_Data!F157,"in","m")*1000)</f>
        <v>9.1440000000000001</v>
      </c>
      <c r="G157" s="58">
        <f>IF(Input_Data!K157="",NA(),CONVERT(Input_Data!K157,"psi","Pa"))</f>
        <v>31.689616303081074</v>
      </c>
      <c r="H157" s="59">
        <f t="shared" si="12"/>
        <v>21.028948469441939</v>
      </c>
      <c r="I157" s="60">
        <f t="shared" si="13"/>
        <v>1.3228175567882479</v>
      </c>
      <c r="J157" s="59">
        <f t="shared" si="14"/>
        <v>0.96113621738722532</v>
      </c>
      <c r="K157" s="59">
        <f t="shared" si="15"/>
        <v>50.403174934023625</v>
      </c>
      <c r="L157" s="61">
        <f t="shared" si="16"/>
        <v>1.7024578938443022</v>
      </c>
      <c r="M157" s="61">
        <f t="shared" si="17"/>
        <v>1.5009169807976395</v>
      </c>
    </row>
    <row r="158" spans="1:13" s="62" customFormat="1" ht="18.75" customHeight="1" x14ac:dyDescent="0.3">
      <c r="A158" s="53">
        <v>152</v>
      </c>
      <c r="B158" s="54">
        <f>IF(Input_Data!B158="",NA(),Input_Data!B158)</f>
        <v>37132</v>
      </c>
      <c r="C158" s="55" t="str">
        <f>IF(Input_Data!C158="",NA(),Input_Data!C158)</f>
        <v>Seis 4</v>
      </c>
      <c r="D158" s="56">
        <f>IF(Input_Data!D158="",NA(),CONVERT(Input_Data!D158,"ft","m"))</f>
        <v>431.29199999999997</v>
      </c>
      <c r="E158" s="57">
        <f>IF(Input_Data!E158="",NA(),CONVERT(Input_Data!E158,"lbm","g")/1000)</f>
        <v>189.60161066000001</v>
      </c>
      <c r="F158" s="58">
        <f>IF(Input_Data!F158="",NA(),CONVERT(Input_Data!F158,"in","m")*1000)</f>
        <v>8.3820000000000014</v>
      </c>
      <c r="G158" s="58">
        <f>IF(Input_Data!K158="",NA(),CONVERT(Input_Data!K158,"psi","Pa"))</f>
        <v>19.994796150188247</v>
      </c>
      <c r="H158" s="59">
        <f t="shared" si="12"/>
        <v>31.322065351852991</v>
      </c>
      <c r="I158" s="60">
        <f t="shared" si="13"/>
        <v>1.4958503913597092</v>
      </c>
      <c r="J158" s="59">
        <f t="shared" si="14"/>
        <v>0.92334765649782558</v>
      </c>
      <c r="K158" s="59">
        <f t="shared" si="15"/>
        <v>75.074202664887821</v>
      </c>
      <c r="L158" s="61">
        <f t="shared" si="16"/>
        <v>1.8754907284157634</v>
      </c>
      <c r="M158" s="61">
        <f t="shared" si="17"/>
        <v>1.3009169807976388</v>
      </c>
    </row>
    <row r="159" spans="1:13" s="62" customFormat="1" ht="18.75" customHeight="1" x14ac:dyDescent="0.3">
      <c r="A159" s="53">
        <v>153</v>
      </c>
      <c r="B159" s="54">
        <f>IF(Input_Data!B159="",NA(),Input_Data!B159)</f>
        <v>37132</v>
      </c>
      <c r="C159" s="55" t="str">
        <f>IF(Input_Data!C159="",NA(),Input_Data!C159)</f>
        <v>Seis 5 A</v>
      </c>
      <c r="D159" s="56">
        <f>IF(Input_Data!D159="",NA(),CONVERT(Input_Data!D159,"ft","m"))</f>
        <v>626.97360000000003</v>
      </c>
      <c r="E159" s="57">
        <f>IF(Input_Data!E159="",NA(),CONVERT(Input_Data!E159,"lbm","g")/1000)</f>
        <v>189.60161066000001</v>
      </c>
      <c r="F159" s="58">
        <f>IF(Input_Data!F159="",NA(),CONVERT(Input_Data!F159,"in","m")*1000)</f>
        <v>4.5720000000000001</v>
      </c>
      <c r="G159" s="58">
        <f>IF(Input_Data!K159="",NA(),CONVERT(Input_Data!K159,"psi","Pa"))</f>
        <v>15.882431129650927</v>
      </c>
      <c r="H159" s="59">
        <f t="shared" si="12"/>
        <v>45.533207370149547</v>
      </c>
      <c r="I159" s="60">
        <f t="shared" si="13"/>
        <v>1.6583282431941242</v>
      </c>
      <c r="J159" s="59">
        <f t="shared" si="14"/>
        <v>0.66010622172324418</v>
      </c>
      <c r="K159" s="59">
        <f t="shared" si="15"/>
        <v>109.13613772556485</v>
      </c>
      <c r="L159" s="61">
        <f t="shared" si="16"/>
        <v>2.0379685802501784</v>
      </c>
      <c r="M159" s="61">
        <f t="shared" si="17"/>
        <v>1.2009169807976399</v>
      </c>
    </row>
    <row r="160" spans="1:13" s="62" customFormat="1" ht="18.75" customHeight="1" x14ac:dyDescent="0.3">
      <c r="A160" s="53">
        <v>154</v>
      </c>
      <c r="B160" s="54">
        <f>IF(Input_Data!B160="",NA(),Input_Data!B160)</f>
        <v>37132</v>
      </c>
      <c r="C160" s="55" t="str">
        <f>IF(Input_Data!C160="",NA(),Input_Data!C160)</f>
        <v>Seis 5</v>
      </c>
      <c r="D160" s="56">
        <f>IF(Input_Data!D160="",NA(),CONVERT(Input_Data!D160,"ft","m"))</f>
        <v>595.27440000000001</v>
      </c>
      <c r="E160" s="57">
        <f>IF(Input_Data!E160="",NA(),CONVERT(Input_Data!E160,"lbm","g")/1000)</f>
        <v>189.60161066000001</v>
      </c>
      <c r="F160" s="58">
        <f>IF(Input_Data!F160="",NA(),CONVERT(Input_Data!F160,"in","m")*1000)</f>
        <v>5.08</v>
      </c>
      <c r="G160" s="58">
        <f>IF(Input_Data!K160="",NA(),CONVERT(Input_Data!K160,"psi","Pa"))</f>
        <v>5.6352992183802844</v>
      </c>
      <c r="H160" s="59">
        <f t="shared" si="12"/>
        <v>43.231090906126433</v>
      </c>
      <c r="I160" s="60">
        <f t="shared" si="13"/>
        <v>1.6357961947872546</v>
      </c>
      <c r="J160" s="59">
        <f t="shared" si="14"/>
        <v>0.70586371228391931</v>
      </c>
      <c r="K160" s="59">
        <f t="shared" si="15"/>
        <v>103.61831646962962</v>
      </c>
      <c r="L160" s="61">
        <f t="shared" si="16"/>
        <v>2.0154365318433087</v>
      </c>
      <c r="M160" s="61">
        <f t="shared" si="17"/>
        <v>0.75091698079763947</v>
      </c>
    </row>
    <row r="161" spans="1:13" s="62" customFormat="1" ht="18.75" customHeight="1" x14ac:dyDescent="0.3">
      <c r="A161" s="53">
        <v>155</v>
      </c>
      <c r="B161" s="54">
        <f>IF(Input_Data!B161="",NA(),Input_Data!B161)</f>
        <v>37132</v>
      </c>
      <c r="C161" s="55" t="str">
        <f>IF(Input_Data!C161="",NA(),Input_Data!C161)</f>
        <v>Seis 6</v>
      </c>
      <c r="D161" s="56">
        <f>IF(Input_Data!D161="",NA(),CONVERT(Input_Data!D161,"ft","m"))</f>
        <v>740.05439999999999</v>
      </c>
      <c r="E161" s="57">
        <f>IF(Input_Data!E161="",NA(),CONVERT(Input_Data!E161,"lbm","g")/1000)</f>
        <v>189.60161066000001</v>
      </c>
      <c r="F161" s="58">
        <f>IF(Input_Data!F161="",NA(),CONVERT(Input_Data!F161,"in","m")*1000)</f>
        <v>2.032</v>
      </c>
      <c r="G161" s="58">
        <f>IF(Input_Data!K161="",NA(),CONVERT(Input_Data!K161,"psi","Pa"))</f>
        <v>5.6352992183802844</v>
      </c>
      <c r="H161" s="59">
        <f t="shared" si="12"/>
        <v>53.745565140847397</v>
      </c>
      <c r="I161" s="60">
        <f t="shared" si="13"/>
        <v>1.7303426339026202</v>
      </c>
      <c r="J161" s="59">
        <f t="shared" si="14"/>
        <v>0.30792370361188165</v>
      </c>
      <c r="K161" s="59">
        <f t="shared" si="15"/>
        <v>128.81990393664142</v>
      </c>
      <c r="L161" s="61">
        <f t="shared" si="16"/>
        <v>2.1099829709586744</v>
      </c>
      <c r="M161" s="61">
        <f t="shared" si="17"/>
        <v>0.75091698079763947</v>
      </c>
    </row>
    <row r="162" spans="1:13" s="62" customFormat="1" ht="18.75" customHeight="1" x14ac:dyDescent="0.3">
      <c r="A162" s="53">
        <v>156</v>
      </c>
      <c r="B162" s="54">
        <f>IF(Input_Data!B162="",NA(),Input_Data!B162)</f>
        <v>36767</v>
      </c>
      <c r="C162" s="55" t="str">
        <f>IF(Input_Data!C162="",NA(),Input_Data!C162)</f>
        <v>Seis 7</v>
      </c>
      <c r="D162" s="56">
        <f>IF(Input_Data!D162="",NA(),CONVERT(Input_Data!D162,"ft","m"))</f>
        <v>64.312799999999996</v>
      </c>
      <c r="E162" s="57">
        <f>IF(Input_Data!E162="",NA(),CONVERT(Input_Data!E162,"lbm","g")/1000)</f>
        <v>153.31422106000002</v>
      </c>
      <c r="F162" s="58">
        <f>IF(Input_Data!F162="",NA(),CONVERT(Input_Data!F162,"in","m")*1000)</f>
        <v>103.63200000000001</v>
      </c>
      <c r="G162" s="58">
        <f>IF(Input_Data!K162="",NA(),CONVERT(Input_Data!K162,"psi","Pa"))</f>
        <v>70.944213890827498</v>
      </c>
      <c r="H162" s="59">
        <f t="shared" si="12"/>
        <v>5.1940508556026517</v>
      </c>
      <c r="I162" s="60">
        <f t="shared" si="13"/>
        <v>0.71550619754578293</v>
      </c>
      <c r="J162" s="59">
        <f t="shared" si="14"/>
        <v>2.0154938797098181</v>
      </c>
      <c r="K162" s="59">
        <f t="shared" si="15"/>
        <v>12.016277180549118</v>
      </c>
      <c r="L162" s="61">
        <f t="shared" si="16"/>
        <v>1.0797699376856071</v>
      </c>
      <c r="M162" s="61">
        <f t="shared" si="17"/>
        <v>1.8509169807976396</v>
      </c>
    </row>
    <row r="163" spans="1:13" s="62" customFormat="1" ht="18.75" customHeight="1" x14ac:dyDescent="0.3">
      <c r="A163" s="53">
        <v>157</v>
      </c>
      <c r="B163" s="54">
        <f>IF(Input_Data!B163="",NA(),Input_Data!B163)</f>
        <v>36767</v>
      </c>
      <c r="C163" s="55" t="str">
        <f>IF(Input_Data!C163="",NA(),Input_Data!C163)</f>
        <v>Seis 7 A</v>
      </c>
      <c r="D163" s="56">
        <f>IF(Input_Data!D163="",NA(),CONVERT(Input_Data!D163,"ft","m"))</f>
        <v>18.288</v>
      </c>
      <c r="E163" s="57">
        <f>IF(Input_Data!E163="",NA(),CONVERT(Input_Data!E163,"lbm","g")/1000)</f>
        <v>153.31422106000002</v>
      </c>
      <c r="F163" s="58">
        <f>IF(Input_Data!F163="",NA(),CONVERT(Input_Data!F163,"in","m")*1000)</f>
        <v>129.03200000000001</v>
      </c>
      <c r="G163" s="58">
        <f>IF(Input_Data!K163="",NA(),CONVERT(Input_Data!K163,"psi","Pa"))</f>
        <v>251.71956977116162</v>
      </c>
      <c r="H163" s="59">
        <f t="shared" si="12"/>
        <v>1.4769812859533609</v>
      </c>
      <c r="I163" s="60">
        <f t="shared" si="13"/>
        <v>0.169374992631734</v>
      </c>
      <c r="J163" s="59">
        <f t="shared" si="14"/>
        <v>2.1106974289038574</v>
      </c>
      <c r="K163" s="59">
        <f t="shared" si="15"/>
        <v>3.4169508570281857</v>
      </c>
      <c r="L163" s="61">
        <f t="shared" si="16"/>
        <v>0.53363873277155827</v>
      </c>
      <c r="M163" s="61">
        <f t="shared" si="17"/>
        <v>2.4009169807976387</v>
      </c>
    </row>
    <row r="164" spans="1:13" s="62" customFormat="1" ht="18.75" customHeight="1" x14ac:dyDescent="0.3">
      <c r="A164" s="53">
        <v>158</v>
      </c>
      <c r="B164" s="54">
        <f>IF(Input_Data!B164="",NA(),Input_Data!B164)</f>
        <v>36767</v>
      </c>
      <c r="C164" s="55" t="str">
        <f>IF(Input_Data!C164="",NA(),Input_Data!C164)</f>
        <v>Seis 8</v>
      </c>
      <c r="D164" s="56">
        <f>IF(Input_Data!D164="",NA(),CONVERT(Input_Data!D164,"ft","m"))</f>
        <v>128.62559999999999</v>
      </c>
      <c r="E164" s="57">
        <f>IF(Input_Data!E164="",NA(),CONVERT(Input_Data!E164,"lbm","g")/1000)</f>
        <v>153.31422106000002</v>
      </c>
      <c r="F164" s="58">
        <f>IF(Input_Data!F164="",NA(),CONVERT(Input_Data!F164,"in","m")*1000)</f>
        <v>60.96</v>
      </c>
      <c r="G164" s="58">
        <f>IF(Input_Data!K164="",NA(),CONVERT(Input_Data!K164,"psi","Pa"))</f>
        <v>70.944213890827498</v>
      </c>
      <c r="H164" s="59">
        <f t="shared" si="12"/>
        <v>10.388101711205303</v>
      </c>
      <c r="I164" s="60">
        <f t="shared" si="13"/>
        <v>1.0165361932097641</v>
      </c>
      <c r="J164" s="59">
        <f t="shared" si="14"/>
        <v>1.7850449583315442</v>
      </c>
      <c r="K164" s="59">
        <f t="shared" si="15"/>
        <v>24.032554361098235</v>
      </c>
      <c r="L164" s="61">
        <f t="shared" si="16"/>
        <v>1.3807999333495884</v>
      </c>
      <c r="M164" s="61">
        <f t="shared" si="17"/>
        <v>1.8509169807976396</v>
      </c>
    </row>
    <row r="165" spans="1:13" s="62" customFormat="1" ht="18.75" customHeight="1" x14ac:dyDescent="0.3">
      <c r="A165" s="53">
        <v>159</v>
      </c>
      <c r="B165" s="54">
        <f>IF(Input_Data!B165="",NA(),Input_Data!B165)</f>
        <v>36767</v>
      </c>
      <c r="C165" s="55" t="str">
        <f>IF(Input_Data!C165="",NA(),Input_Data!C165)</f>
        <v>Seis 9</v>
      </c>
      <c r="D165" s="56">
        <f>IF(Input_Data!D165="",NA(),CONVERT(Input_Data!D165,"ft","m"))</f>
        <v>241.4016</v>
      </c>
      <c r="E165" s="57">
        <f>IF(Input_Data!E165="",NA(),CONVERT(Input_Data!E165,"lbm","g")/1000)</f>
        <v>153.31422106000002</v>
      </c>
      <c r="F165" s="58">
        <f>IF(Input_Data!F165="",NA(),CONVERT(Input_Data!F165,"in","m")*1000)</f>
        <v>17.78</v>
      </c>
      <c r="G165" s="58">
        <f>IF(Input_Data!K165="",NA(),CONVERT(Input_Data!K165,"psi","Pa"))</f>
        <v>19.994796150188247</v>
      </c>
      <c r="H165" s="59">
        <f t="shared" si="12"/>
        <v>19.496152974584362</v>
      </c>
      <c r="I165" s="60">
        <f t="shared" si="13"/>
        <v>1.2899489238375839</v>
      </c>
      <c r="J165" s="59">
        <f t="shared" si="14"/>
        <v>1.249931756634195</v>
      </c>
      <c r="K165" s="59">
        <f t="shared" si="15"/>
        <v>45.103751312772047</v>
      </c>
      <c r="L165" s="61">
        <f t="shared" si="16"/>
        <v>1.6542126639774082</v>
      </c>
      <c r="M165" s="61">
        <f t="shared" si="17"/>
        <v>1.3009169807976388</v>
      </c>
    </row>
    <row r="166" spans="1:13" s="62" customFormat="1" ht="18.75" customHeight="1" x14ac:dyDescent="0.3">
      <c r="A166" s="53">
        <v>160</v>
      </c>
      <c r="B166" s="54">
        <f>IF(Input_Data!B166="",NA(),Input_Data!B166)</f>
        <v>36767</v>
      </c>
      <c r="C166" s="55" t="str">
        <f>IF(Input_Data!C166="",NA(),Input_Data!C166)</f>
        <v>Seis 10</v>
      </c>
      <c r="D166" s="56">
        <f>IF(Input_Data!D166="",NA(),CONVERT(Input_Data!D166,"ft","m"))</f>
        <v>386.1816</v>
      </c>
      <c r="E166" s="57">
        <f>IF(Input_Data!E166="",NA(),CONVERT(Input_Data!E166,"lbm","g")/1000)</f>
        <v>153.31422106000002</v>
      </c>
      <c r="F166" s="58">
        <f>IF(Input_Data!F166="",NA(),CONVERT(Input_Data!F166,"in","m")*1000)</f>
        <v>11.43</v>
      </c>
      <c r="G166" s="58">
        <f>IF(Input_Data!K166="",NA(),CONVERT(Input_Data!K166,"psi","Pa"))</f>
        <v>14.155231644145974</v>
      </c>
      <c r="H166" s="59">
        <f t="shared" si="12"/>
        <v>31.188921488381805</v>
      </c>
      <c r="I166" s="60">
        <f t="shared" si="13"/>
        <v>1.4940003571315317</v>
      </c>
      <c r="J166" s="59">
        <f t="shared" si="14"/>
        <v>1.0580462303952818</v>
      </c>
      <c r="K166" s="59">
        <f t="shared" si="15"/>
        <v>72.154612264245188</v>
      </c>
      <c r="L166" s="61">
        <f t="shared" si="16"/>
        <v>1.858264097271356</v>
      </c>
      <c r="M166" s="61">
        <f t="shared" si="17"/>
        <v>1.1509169807976394</v>
      </c>
    </row>
    <row r="167" spans="1:13" s="62" customFormat="1" ht="18.75" customHeight="1" x14ac:dyDescent="0.3">
      <c r="A167" s="53">
        <v>161</v>
      </c>
      <c r="B167" s="54">
        <f>IF(Input_Data!B167="",NA(),Input_Data!B167)</f>
        <v>36767</v>
      </c>
      <c r="C167" s="55" t="str">
        <f>IF(Input_Data!C167="",NA(),Input_Data!C167)</f>
        <v>Seis 11</v>
      </c>
      <c r="D167" s="56">
        <f>IF(Input_Data!D167="",NA(),CONVERT(Input_Data!D167,"ft","m"))</f>
        <v>466.64879999999999</v>
      </c>
      <c r="E167" s="57">
        <f>IF(Input_Data!E167="",NA(),CONVERT(Input_Data!E167,"lbm","g")/1000)</f>
        <v>153.31422106000002</v>
      </c>
      <c r="F167" s="58">
        <f>IF(Input_Data!F167="",NA(),CONVERT(Input_Data!F167,"in","m")*1000)</f>
        <v>7.8740000000000006</v>
      </c>
      <c r="G167" s="58">
        <f>IF(Input_Data!K167="",NA(),CONVERT(Input_Data!K167,"psi","Pa"))</f>
        <v>12.615863482345585</v>
      </c>
      <c r="H167" s="59">
        <f t="shared" si="12"/>
        <v>37.687639146576593</v>
      </c>
      <c r="I167" s="60">
        <f t="shared" si="13"/>
        <v>1.5761989329463515</v>
      </c>
      <c r="J167" s="59">
        <f t="shared" si="14"/>
        <v>0.89619541045421081</v>
      </c>
      <c r="K167" s="59">
        <f t="shared" si="15"/>
        <v>87.189196035169203</v>
      </c>
      <c r="L167" s="61">
        <f t="shared" si="16"/>
        <v>1.9404626730861756</v>
      </c>
      <c r="M167" s="61">
        <f t="shared" si="17"/>
        <v>1.1009169807976396</v>
      </c>
    </row>
    <row r="168" spans="1:13" s="62" customFormat="1" ht="18.75" customHeight="1" x14ac:dyDescent="0.3">
      <c r="A168" s="53">
        <v>162</v>
      </c>
      <c r="B168" s="54">
        <f>IF(Input_Data!B168="",NA(),Input_Data!B168)</f>
        <v>36767</v>
      </c>
      <c r="C168" s="55" t="str">
        <f>IF(Input_Data!C168="",NA(),Input_Data!C168)</f>
        <v>Seis 12</v>
      </c>
      <c r="D168" s="56">
        <f>IF(Input_Data!D168="",NA(),CONVERT(Input_Data!D168,"ft","m"))</f>
        <v>643.73760000000004</v>
      </c>
      <c r="E168" s="57">
        <f>IF(Input_Data!E168="",NA(),CONVERT(Input_Data!E168,"lbm","g")/1000)</f>
        <v>153.31422106000002</v>
      </c>
      <c r="F168" s="58">
        <f>IF(Input_Data!F168="",NA(),CONVERT(Input_Data!F168,"in","m")*1000)</f>
        <v>3.81</v>
      </c>
      <c r="G168" s="58">
        <f>IF(Input_Data!K168="",NA(),CONVERT(Input_Data!K168,"psi","Pa"))</f>
        <v>5.6352992183802844</v>
      </c>
      <c r="H168" s="59">
        <f t="shared" si="12"/>
        <v>51.989741265558308</v>
      </c>
      <c r="I168" s="60">
        <f t="shared" si="13"/>
        <v>1.715917656109865</v>
      </c>
      <c r="J168" s="59">
        <f t="shared" si="14"/>
        <v>0.58092497567561929</v>
      </c>
      <c r="K168" s="59">
        <f t="shared" si="15"/>
        <v>120.27667016739214</v>
      </c>
      <c r="L168" s="61">
        <f t="shared" si="16"/>
        <v>2.0801813962496891</v>
      </c>
      <c r="M168" s="61">
        <f t="shared" si="17"/>
        <v>0.75091698079763947</v>
      </c>
    </row>
    <row r="169" spans="1:13" s="62" customFormat="1" ht="18.75" customHeight="1" x14ac:dyDescent="0.3">
      <c r="A169" s="53">
        <v>163</v>
      </c>
      <c r="B169" s="54">
        <f>IF(Input_Data!B169="",NA(),Input_Data!B169)</f>
        <v>36767</v>
      </c>
      <c r="C169" s="55" t="str">
        <f>IF(Input_Data!C169="",NA(),Input_Data!C169)</f>
        <v>Seis 13</v>
      </c>
      <c r="D169" s="56">
        <f>IF(Input_Data!D169="",NA(),CONVERT(Input_Data!D169,"ft","m"))</f>
        <v>885.13919999999996</v>
      </c>
      <c r="E169" s="57">
        <f>IF(Input_Data!E169="",NA(),CONVERT(Input_Data!E169,"lbm","g")/1000)</f>
        <v>153.31422106000002</v>
      </c>
      <c r="F169" s="58">
        <f>IF(Input_Data!F169="",NA(),CONVERT(Input_Data!F169,"in","m")*1000)</f>
        <v>2.794</v>
      </c>
      <c r="G169" s="58">
        <f>IF(Input_Data!K169="",NA(),CONVERT(Input_Data!K169,"psi","Pa"))</f>
        <v>3.9894863253955477</v>
      </c>
      <c r="H169" s="59">
        <f t="shared" si="12"/>
        <v>71.485894240142656</v>
      </c>
      <c r="I169" s="60">
        <f t="shared" si="13"/>
        <v>1.8542203542761464</v>
      </c>
      <c r="J169" s="59">
        <f t="shared" si="14"/>
        <v>0.44622640177816308</v>
      </c>
      <c r="K169" s="59">
        <f t="shared" si="15"/>
        <v>165.38042148016416</v>
      </c>
      <c r="L169" s="61">
        <f t="shared" si="16"/>
        <v>2.2184840944159707</v>
      </c>
      <c r="M169" s="61">
        <f t="shared" si="17"/>
        <v>0.60091698079763922</v>
      </c>
    </row>
    <row r="170" spans="1:13" s="62" customFormat="1" ht="18.75" customHeight="1" x14ac:dyDescent="0.3">
      <c r="A170" s="53">
        <v>164</v>
      </c>
      <c r="B170" s="54">
        <f>IF(Input_Data!B170="",NA(),Input_Data!B170)</f>
        <v>36767</v>
      </c>
      <c r="C170" s="55" t="str">
        <f>IF(Input_Data!C170="",NA(),Input_Data!C170)</f>
        <v>Seis 14</v>
      </c>
      <c r="D170" s="56">
        <f>IF(Input_Data!D170="",NA(),CONVERT(Input_Data!D170,"ft","m"))</f>
        <v>1110.3864000000001</v>
      </c>
      <c r="E170" s="57">
        <f>IF(Input_Data!E170="",NA(),CONVERT(Input_Data!E170,"lbm","g")/1000)</f>
        <v>153.31422106000002</v>
      </c>
      <c r="F170" s="58">
        <f>IF(Input_Data!F170="",NA(),CONVERT(Input_Data!F170,"in","m")*1000)</f>
        <v>2.032</v>
      </c>
      <c r="G170" s="58">
        <f>IF(Input_Data!K170="",NA(),CONVERT(Input_Data!K170,"psi","Pa"))</f>
        <v>3.9894863253955477</v>
      </c>
      <c r="H170" s="59">
        <f t="shared" si="12"/>
        <v>89.677380412134895</v>
      </c>
      <c r="I170" s="60">
        <f t="shared" si="13"/>
        <v>1.9526829134900063</v>
      </c>
      <c r="J170" s="59">
        <f t="shared" si="14"/>
        <v>0.30792370361188165</v>
      </c>
      <c r="K170" s="59">
        <f t="shared" si="15"/>
        <v>207.46586620256136</v>
      </c>
      <c r="L170" s="61">
        <f t="shared" si="16"/>
        <v>2.3169466536298304</v>
      </c>
      <c r="M170" s="61">
        <f t="shared" si="17"/>
        <v>0.60091698079763922</v>
      </c>
    </row>
    <row r="171" spans="1:13" s="62" customFormat="1" ht="18.75" customHeight="1" x14ac:dyDescent="0.3">
      <c r="A171" s="53">
        <v>165</v>
      </c>
      <c r="B171" s="54">
        <f>IF(Input_Data!B171="",NA(),Input_Data!B171)</f>
        <v>36770</v>
      </c>
      <c r="C171" s="55" t="str">
        <f>IF(Input_Data!C171="",NA(),Input_Data!C171)</f>
        <v>Seis 7</v>
      </c>
      <c r="D171" s="56">
        <f>IF(Input_Data!D171="",NA(),CONVERT(Input_Data!D171,"ft","m"))</f>
        <v>48.1584</v>
      </c>
      <c r="E171" s="57">
        <f>IF(Input_Data!E171="",NA(),CONVERT(Input_Data!E171,"lbm","g")/1000)</f>
        <v>225.20861170500001</v>
      </c>
      <c r="F171" s="58">
        <f>IF(Input_Data!F171="",NA(),CONVERT(Input_Data!F171,"in","m")*1000)</f>
        <v>129.03200000000001</v>
      </c>
      <c r="G171" s="58">
        <f>IF(Input_Data!K171="",NA(),CONVERT(Input_Data!K171,"psi","Pa"))</f>
        <v>89.313473686923544</v>
      </c>
      <c r="H171" s="59">
        <f t="shared" si="12"/>
        <v>3.2090726777282339</v>
      </c>
      <c r="I171" s="60">
        <f t="shared" si="13"/>
        <v>0.50637955292564041</v>
      </c>
      <c r="J171" s="59">
        <f t="shared" si="14"/>
        <v>2.1106974289038574</v>
      </c>
      <c r="K171" s="59">
        <f t="shared" si="15"/>
        <v>7.9154762804202008</v>
      </c>
      <c r="L171" s="61">
        <f t="shared" si="16"/>
        <v>0.89847705182442206</v>
      </c>
      <c r="M171" s="61">
        <f t="shared" si="17"/>
        <v>1.9509169807976399</v>
      </c>
    </row>
    <row r="172" spans="1:13" s="62" customFormat="1" ht="18.75" customHeight="1" x14ac:dyDescent="0.3">
      <c r="A172" s="53">
        <v>166</v>
      </c>
      <c r="B172" s="54">
        <f>IF(Input_Data!B172="",NA(),Input_Data!B172)</f>
        <v>36770</v>
      </c>
      <c r="C172" s="55" t="str">
        <f>IF(Input_Data!C172="",NA(),Input_Data!C172)</f>
        <v>Seis 8</v>
      </c>
      <c r="D172" s="56">
        <f>IF(Input_Data!D172="",NA(),CONVERT(Input_Data!D172,"ft","m"))</f>
        <v>112.4712</v>
      </c>
      <c r="E172" s="57">
        <f>IF(Input_Data!E172="",NA(),CONVERT(Input_Data!E172,"lbm","g")/1000)</f>
        <v>225.20861170500001</v>
      </c>
      <c r="F172" s="58">
        <f>IF(Input_Data!F172="",NA(),CONVERT(Input_Data!F172,"in","m")*1000)</f>
        <v>70.103999999999999</v>
      </c>
      <c r="G172" s="58">
        <f>IF(Input_Data!K172="",NA(),CONVERT(Input_Data!K172,"psi","Pa"))</f>
        <v>79.600717211454111</v>
      </c>
      <c r="H172" s="59">
        <f t="shared" si="12"/>
        <v>7.4946064435551785</v>
      </c>
      <c r="I172" s="60">
        <f t="shared" si="13"/>
        <v>0.87474883213027821</v>
      </c>
      <c r="J172" s="59">
        <f t="shared" si="14"/>
        <v>1.8457427986851558</v>
      </c>
      <c r="K172" s="59">
        <f t="shared" si="15"/>
        <v>18.486143971361102</v>
      </c>
      <c r="L172" s="61">
        <f t="shared" si="16"/>
        <v>1.2668463310290599</v>
      </c>
      <c r="M172" s="61">
        <f t="shared" si="17"/>
        <v>1.9009169807976394</v>
      </c>
    </row>
    <row r="173" spans="1:13" s="62" customFormat="1" ht="18.75" customHeight="1" x14ac:dyDescent="0.3">
      <c r="A173" s="53">
        <v>167</v>
      </c>
      <c r="B173" s="54">
        <f>IF(Input_Data!B173="",NA(),Input_Data!B173)</f>
        <v>36770</v>
      </c>
      <c r="C173" s="55" t="str">
        <f>IF(Input_Data!C173="",NA(),Input_Data!C173)</f>
        <v>Seis 9</v>
      </c>
      <c r="D173" s="56">
        <f>IF(Input_Data!D173="",NA(),CONVERT(Input_Data!D173,"ft","m"))</f>
        <v>225.24719999999999</v>
      </c>
      <c r="E173" s="57">
        <f>IF(Input_Data!E173="",NA(),CONVERT(Input_Data!E173,"lbm","g")/1000)</f>
        <v>225.20861170500001</v>
      </c>
      <c r="F173" s="58">
        <f>IF(Input_Data!F173="",NA(),CONVERT(Input_Data!F173,"in","m")*1000)</f>
        <v>19.558</v>
      </c>
      <c r="G173" s="58">
        <f>IF(Input_Data!K173="",NA(),CONVERT(Input_Data!K173,"psi","Pa"))</f>
        <v>28.243400259219452</v>
      </c>
      <c r="H173" s="59">
        <f t="shared" si="12"/>
        <v>15.009523473678257</v>
      </c>
      <c r="I173" s="60">
        <f t="shared" si="13"/>
        <v>1.1763669043660436</v>
      </c>
      <c r="J173" s="59">
        <f t="shared" si="14"/>
        <v>1.2913244417924199</v>
      </c>
      <c r="K173" s="59">
        <f t="shared" si="15"/>
        <v>37.022385893864104</v>
      </c>
      <c r="L173" s="61">
        <f t="shared" si="16"/>
        <v>1.5684644032648252</v>
      </c>
      <c r="M173" s="61">
        <f t="shared" si="17"/>
        <v>1.4509169807976396</v>
      </c>
    </row>
    <row r="174" spans="1:13" s="62" customFormat="1" ht="18.75" customHeight="1" x14ac:dyDescent="0.3">
      <c r="A174" s="53">
        <v>168</v>
      </c>
      <c r="B174" s="54">
        <f>IF(Input_Data!B174="",NA(),Input_Data!B174)</f>
        <v>36770</v>
      </c>
      <c r="C174" s="55" t="str">
        <f>IF(Input_Data!C174="",NA(),Input_Data!C174)</f>
        <v>Seis 10</v>
      </c>
      <c r="D174" s="56">
        <f>IF(Input_Data!D174="",NA(),CONVERT(Input_Data!D174,"ft","m"))</f>
        <v>370.33199999999999</v>
      </c>
      <c r="E174" s="57">
        <f>IF(Input_Data!E174="",NA(),CONVERT(Input_Data!E174,"lbm","g")/1000)</f>
        <v>225.20861170500001</v>
      </c>
      <c r="F174" s="58">
        <f>IF(Input_Data!F174="",NA(),CONVERT(Input_Data!F174,"in","m")*1000)</f>
        <v>11.43</v>
      </c>
      <c r="G174" s="58">
        <f>IF(Input_Data!K174="",NA(),CONVERT(Input_Data!K174,"psi","Pa"))</f>
        <v>19.994796150188247</v>
      </c>
      <c r="H174" s="59">
        <f t="shared" si="12"/>
        <v>24.677362679998758</v>
      </c>
      <c r="I174" s="60">
        <f t="shared" si="13"/>
        <v>1.3922987439055488</v>
      </c>
      <c r="J174" s="59">
        <f t="shared" si="14"/>
        <v>1.0580462303952818</v>
      </c>
      <c r="K174" s="59">
        <f t="shared" si="15"/>
        <v>60.8690106374085</v>
      </c>
      <c r="L174" s="61">
        <f t="shared" si="16"/>
        <v>1.7843962428043305</v>
      </c>
      <c r="M174" s="61">
        <f t="shared" si="17"/>
        <v>1.3009169807976388</v>
      </c>
    </row>
    <row r="175" spans="1:13" s="62" customFormat="1" ht="18.75" customHeight="1" x14ac:dyDescent="0.3">
      <c r="A175" s="53">
        <v>169</v>
      </c>
      <c r="B175" s="54">
        <f>IF(Input_Data!B175="",NA(),Input_Data!B175)</f>
        <v>36770</v>
      </c>
      <c r="C175" s="55" t="str">
        <f>IF(Input_Data!C175="",NA(),Input_Data!C175)</f>
        <v>Seis 11</v>
      </c>
      <c r="D175" s="56">
        <f>IF(Input_Data!D175="",NA(),CONVERT(Input_Data!D175,"ft","m"))</f>
        <v>450.79919999999998</v>
      </c>
      <c r="E175" s="57">
        <f>IF(Input_Data!E175="",NA(),CONVERT(Input_Data!E175,"lbm","g")/1000)</f>
        <v>225.20861170500001</v>
      </c>
      <c r="F175" s="58">
        <f>IF(Input_Data!F175="",NA(),CONVERT(Input_Data!F175,"in","m")*1000)</f>
        <v>9.1440000000000001</v>
      </c>
      <c r="G175" s="58">
        <f>IF(Input_Data!K175="",NA(),CONVERT(Input_Data!K175,"psi","Pa"))</f>
        <v>12.615863482345585</v>
      </c>
      <c r="H175" s="59">
        <f t="shared" si="12"/>
        <v>30.039357533924413</v>
      </c>
      <c r="I175" s="60">
        <f t="shared" si="13"/>
        <v>1.4776906399681102</v>
      </c>
      <c r="J175" s="59">
        <f t="shared" si="14"/>
        <v>0.96113621738722532</v>
      </c>
      <c r="K175" s="59">
        <f t="shared" si="15"/>
        <v>74.094869738870102</v>
      </c>
      <c r="L175" s="61">
        <f t="shared" si="16"/>
        <v>1.869788138866892</v>
      </c>
      <c r="M175" s="61">
        <f t="shared" si="17"/>
        <v>1.1009169807976396</v>
      </c>
    </row>
    <row r="176" spans="1:13" s="62" customFormat="1" ht="18.75" customHeight="1" x14ac:dyDescent="0.3">
      <c r="A176" s="53">
        <v>170</v>
      </c>
      <c r="B176" s="54">
        <f>IF(Input_Data!B176="",NA(),Input_Data!B176)</f>
        <v>36770</v>
      </c>
      <c r="C176" s="55" t="str">
        <f>IF(Input_Data!C176="",NA(),Input_Data!C176)</f>
        <v>Seis 12</v>
      </c>
      <c r="D176" s="56">
        <f>IF(Input_Data!D176="",NA(),CONVERT(Input_Data!D176,"ft","m"))</f>
        <v>627.58320000000003</v>
      </c>
      <c r="E176" s="57">
        <f>IF(Input_Data!E176="",NA(),CONVERT(Input_Data!E176,"lbm","g")/1000)</f>
        <v>225.20861170500001</v>
      </c>
      <c r="F176" s="58">
        <f>IF(Input_Data!F176="",NA(),CONVERT(Input_Data!F176,"in","m")*1000)</f>
        <v>4.0640000000000001</v>
      </c>
      <c r="G176" s="58">
        <f>IF(Input_Data!K176="",NA(),CONVERT(Input_Data!K176,"psi","Pa"))</f>
        <v>7.9600717211454013</v>
      </c>
      <c r="H176" s="59">
        <f t="shared" si="12"/>
        <v>41.819497743306542</v>
      </c>
      <c r="I176" s="60">
        <f t="shared" si="13"/>
        <v>1.6213788125892492</v>
      </c>
      <c r="J176" s="59">
        <f t="shared" si="14"/>
        <v>0.60895369927586285</v>
      </c>
      <c r="K176" s="59">
        <f t="shared" si="15"/>
        <v>103.15168140117211</v>
      </c>
      <c r="L176" s="61">
        <f t="shared" si="16"/>
        <v>2.0134763114880307</v>
      </c>
      <c r="M176" s="61">
        <f t="shared" si="17"/>
        <v>0.90091698079763882</v>
      </c>
    </row>
    <row r="177" spans="1:13" s="62" customFormat="1" ht="18.75" customHeight="1" x14ac:dyDescent="0.3">
      <c r="A177" s="53">
        <v>171</v>
      </c>
      <c r="B177" s="54">
        <f>IF(Input_Data!B177="",NA(),Input_Data!B177)</f>
        <v>36770</v>
      </c>
      <c r="C177" s="55" t="str">
        <f>IF(Input_Data!C177="",NA(),Input_Data!C177)</f>
        <v>Seis 13</v>
      </c>
      <c r="D177" s="56">
        <f>IF(Input_Data!D177="",NA(),CONVERT(Input_Data!D177,"ft","m"))</f>
        <v>885.13919999999996</v>
      </c>
      <c r="E177" s="57">
        <f>IF(Input_Data!E177="",NA(),CONVERT(Input_Data!E177,"lbm","g")/1000)</f>
        <v>225.20861170500001</v>
      </c>
      <c r="F177" s="58">
        <f>IF(Input_Data!F177="",NA(),CONVERT(Input_Data!F177,"in","m")*1000)</f>
        <v>2.032</v>
      </c>
      <c r="G177" s="58">
        <f>IF(Input_Data!K177="",NA(),CONVERT(Input_Data!K177,"psi","Pa"))</f>
        <v>5.6352992183802844</v>
      </c>
      <c r="H177" s="59">
        <f t="shared" si="12"/>
        <v>58.981943393182213</v>
      </c>
      <c r="I177" s="60">
        <f t="shared" si="13"/>
        <v>1.7707190779992739</v>
      </c>
      <c r="J177" s="59">
        <f t="shared" si="14"/>
        <v>0.30792370361188165</v>
      </c>
      <c r="K177" s="59">
        <f t="shared" si="15"/>
        <v>145.4844501160776</v>
      </c>
      <c r="L177" s="61">
        <f t="shared" si="16"/>
        <v>2.1628165768980554</v>
      </c>
      <c r="M177" s="61">
        <f t="shared" si="17"/>
        <v>0.75091698079763947</v>
      </c>
    </row>
    <row r="178" spans="1:13" s="62" customFormat="1" ht="18.75" customHeight="1" x14ac:dyDescent="0.3">
      <c r="A178" s="53">
        <v>172</v>
      </c>
      <c r="B178" s="54">
        <f>IF(Input_Data!B178="",NA(),Input_Data!B178)</f>
        <v>36790</v>
      </c>
      <c r="C178" s="55" t="str">
        <f>IF(Input_Data!C178="",NA(),Input_Data!C178)</f>
        <v>Seis 15 A</v>
      </c>
      <c r="D178" s="56">
        <f>IF(Input_Data!D178="",NA(),CONVERT(Input_Data!D178,"ft","m"))</f>
        <v>30.48</v>
      </c>
      <c r="E178" s="57">
        <f>IF(Input_Data!E178="",NA(),CONVERT(Input_Data!E178,"lbm","g")/1000)</f>
        <v>218.40472615500002</v>
      </c>
      <c r="F178" s="58">
        <f>IF(Input_Data!F178="",NA(),CONVERT(Input_Data!F178,"in","m")*1000)</f>
        <v>128.01599999999999</v>
      </c>
      <c r="G178" s="58">
        <f>IF(Input_Data!K178="",NA(),CONVERT(Input_Data!K178,"psi","Pa"))</f>
        <v>158.82431129650914</v>
      </c>
      <c r="H178" s="59">
        <f t="shared" si="12"/>
        <v>2.0624524595547911</v>
      </c>
      <c r="I178" s="60">
        <f t="shared" si="13"/>
        <v>0.3143839466566411</v>
      </c>
      <c r="J178" s="59">
        <f t="shared" si="14"/>
        <v>2.1072642530654635</v>
      </c>
      <c r="K178" s="59">
        <f t="shared" si="15"/>
        <v>5.0612868524825005</v>
      </c>
      <c r="L178" s="61">
        <f t="shared" si="16"/>
        <v>0.70426095199361516</v>
      </c>
      <c r="M178" s="61">
        <f t="shared" si="17"/>
        <v>2.2009169807976394</v>
      </c>
    </row>
    <row r="179" spans="1:13" s="62" customFormat="1" ht="18.75" customHeight="1" x14ac:dyDescent="0.3">
      <c r="A179" s="53">
        <v>173</v>
      </c>
      <c r="B179" s="54">
        <f>IF(Input_Data!B179="",NA(),Input_Data!B179)</f>
        <v>36790</v>
      </c>
      <c r="C179" s="55" t="str">
        <f>IF(Input_Data!C179="",NA(),Input_Data!C179)</f>
        <v>Seis 15</v>
      </c>
      <c r="D179" s="56">
        <f>IF(Input_Data!D179="",NA(),CONVERT(Input_Data!D179,"ft","m"))</f>
        <v>222.19919999999999</v>
      </c>
      <c r="E179" s="57">
        <f>IF(Input_Data!E179="",NA(),CONVERT(Input_Data!E179,"lbm","g")/1000)</f>
        <v>218.40472615500002</v>
      </c>
      <c r="F179" s="58">
        <f>IF(Input_Data!F179="",NA(),CONVERT(Input_Data!F179,"in","m")*1000)</f>
        <v>24.891999999999999</v>
      </c>
      <c r="G179" s="58">
        <f>IF(Input_Data!K179="",NA(),CONVERT(Input_Data!K179,"psi","Pa"))</f>
        <v>39.894863253955457</v>
      </c>
      <c r="H179" s="59">
        <f t="shared" si="12"/>
        <v>15.035278430154426</v>
      </c>
      <c r="I179" s="60">
        <f t="shared" si="13"/>
        <v>1.1771114749746157</v>
      </c>
      <c r="J179" s="59">
        <f t="shared" si="14"/>
        <v>1.3960597923124329</v>
      </c>
      <c r="K179" s="59">
        <f t="shared" si="15"/>
        <v>36.896781154597427</v>
      </c>
      <c r="L179" s="61">
        <f t="shared" si="16"/>
        <v>1.5669884803115897</v>
      </c>
      <c r="M179" s="61">
        <f t="shared" si="17"/>
        <v>1.6009169807976391</v>
      </c>
    </row>
    <row r="180" spans="1:13" s="62" customFormat="1" ht="18.75" customHeight="1" x14ac:dyDescent="0.3">
      <c r="A180" s="53">
        <v>174</v>
      </c>
      <c r="B180" s="54">
        <f>IF(Input_Data!B180="",NA(),Input_Data!B180)</f>
        <v>36790</v>
      </c>
      <c r="C180" s="55" t="str">
        <f>IF(Input_Data!C180="",NA(),Input_Data!C180)</f>
        <v>Seis 16</v>
      </c>
      <c r="D180" s="56">
        <f>IF(Input_Data!D180="",NA(),CONVERT(Input_Data!D180,"ft","m"))</f>
        <v>298.70400000000001</v>
      </c>
      <c r="E180" s="57">
        <f>IF(Input_Data!E180="",NA(),CONVERT(Input_Data!E180,"lbm","g")/1000)</f>
        <v>218.40472615500002</v>
      </c>
      <c r="F180" s="58">
        <f>IF(Input_Data!F180="",NA(),CONVERT(Input_Data!F180,"in","m")*1000)</f>
        <v>29.464000000000002</v>
      </c>
      <c r="G180" s="58">
        <f>IF(Input_Data!K180="",NA(),CONVERT(Input_Data!K180,"psi","Pa"))</f>
        <v>25.171956977116178</v>
      </c>
      <c r="H180" s="59">
        <f t="shared" si="12"/>
        <v>20.212034103636952</v>
      </c>
      <c r="I180" s="60">
        <f t="shared" si="13"/>
        <v>1.305610022349136</v>
      </c>
      <c r="J180" s="59">
        <f t="shared" si="14"/>
        <v>1.4692917058468566</v>
      </c>
      <c r="K180" s="59">
        <f t="shared" si="15"/>
        <v>49.600611154328504</v>
      </c>
      <c r="L180" s="61">
        <f t="shared" si="16"/>
        <v>1.69548702768611</v>
      </c>
      <c r="M180" s="61">
        <f t="shared" si="17"/>
        <v>1.4009169807976389</v>
      </c>
    </row>
    <row r="181" spans="1:13" s="62" customFormat="1" ht="18.75" customHeight="1" x14ac:dyDescent="0.3">
      <c r="A181" s="53">
        <v>175</v>
      </c>
      <c r="B181" s="54">
        <f>IF(Input_Data!B181="",NA(),Input_Data!B181)</f>
        <v>36790</v>
      </c>
      <c r="C181" s="55" t="str">
        <f>IF(Input_Data!C181="",NA(),Input_Data!C181)</f>
        <v>Seis 17</v>
      </c>
      <c r="D181" s="56">
        <f>IF(Input_Data!D181="",NA(),CONVERT(Input_Data!D181,"ft","m"))</f>
        <v>370.02719999999999</v>
      </c>
      <c r="E181" s="57">
        <f>IF(Input_Data!E181="",NA(),CONVERT(Input_Data!E181,"lbm","g")/1000)</f>
        <v>218.40472615500002</v>
      </c>
      <c r="F181" s="58">
        <f>IF(Input_Data!F181="",NA(),CONVERT(Input_Data!F181,"in","m")*1000)</f>
        <v>9.9060000000000006</v>
      </c>
      <c r="G181" s="58">
        <f>IF(Input_Data!K181="",NA(),CONVERT(Input_Data!K181,"psi","Pa"))</f>
        <v>17.820380826648311</v>
      </c>
      <c r="H181" s="59">
        <f t="shared" si="12"/>
        <v>25.038172858995161</v>
      </c>
      <c r="I181" s="60">
        <f t="shared" si="13"/>
        <v>1.3986026333958799</v>
      </c>
      <c r="J181" s="59">
        <f t="shared" si="14"/>
        <v>0.99589832364643727</v>
      </c>
      <c r="K181" s="59">
        <f t="shared" si="15"/>
        <v>61.444022389137551</v>
      </c>
      <c r="L181" s="61">
        <f t="shared" si="16"/>
        <v>1.7884796387328539</v>
      </c>
      <c r="M181" s="61">
        <f t="shared" si="17"/>
        <v>1.2509169807976397</v>
      </c>
    </row>
    <row r="182" spans="1:13" s="62" customFormat="1" ht="18.75" customHeight="1" x14ac:dyDescent="0.3">
      <c r="A182" s="53">
        <v>176</v>
      </c>
      <c r="B182" s="54">
        <f>IF(Input_Data!B182="",NA(),Input_Data!B182)</f>
        <v>36790</v>
      </c>
      <c r="C182" s="55" t="str">
        <f>IF(Input_Data!C182="",NA(),Input_Data!C182)</f>
        <v>Seis 18</v>
      </c>
      <c r="D182" s="56">
        <f>IF(Input_Data!D182="",NA(),CONVERT(Input_Data!D182,"ft","m"))</f>
        <v>450.49439999999998</v>
      </c>
      <c r="E182" s="57">
        <f>IF(Input_Data!E182="",NA(),CONVERT(Input_Data!E182,"lbm","g")/1000)</f>
        <v>218.40472615500002</v>
      </c>
      <c r="F182" s="58">
        <f>IF(Input_Data!F182="",NA(),CONVERT(Input_Data!F182,"in","m")*1000)</f>
        <v>14.478</v>
      </c>
      <c r="G182" s="58">
        <f>IF(Input_Data!K182="",NA(),CONVERT(Input_Data!K182,"psi","Pa"))</f>
        <v>14.155231644145974</v>
      </c>
      <c r="H182" s="59">
        <f t="shared" si="12"/>
        <v>30.48304735221981</v>
      </c>
      <c r="I182" s="60">
        <f t="shared" si="13"/>
        <v>1.4840583807154479</v>
      </c>
      <c r="J182" s="59">
        <f t="shared" si="14"/>
        <v>1.1607085722924295</v>
      </c>
      <c r="K182" s="59">
        <f t="shared" si="15"/>
        <v>74.805819679691353</v>
      </c>
      <c r="L182" s="61">
        <f t="shared" si="16"/>
        <v>1.8739353860524219</v>
      </c>
      <c r="M182" s="61">
        <f t="shared" si="17"/>
        <v>1.1509169807976394</v>
      </c>
    </row>
    <row r="183" spans="1:13" s="62" customFormat="1" ht="18.75" customHeight="1" x14ac:dyDescent="0.3">
      <c r="A183" s="53">
        <v>177</v>
      </c>
      <c r="B183" s="54">
        <f>IF(Input_Data!B183="",NA(),Input_Data!B183)</f>
        <v>36790</v>
      </c>
      <c r="C183" s="55" t="str">
        <f>IF(Input_Data!C183="",NA(),Input_Data!C183)</f>
        <v>Seis 19</v>
      </c>
      <c r="D183" s="56">
        <f>IF(Input_Data!D183="",NA(),CONVERT(Input_Data!D183,"ft","m"))</f>
        <v>933.29759999999999</v>
      </c>
      <c r="E183" s="57">
        <f>IF(Input_Data!E183="",NA(),CONVERT(Input_Data!E183,"lbm","g")/1000)</f>
        <v>218.40472615500002</v>
      </c>
      <c r="F183" s="58">
        <f>IF(Input_Data!F183="",NA(),CONVERT(Input_Data!F183,"in","m")*1000)</f>
        <v>1.524</v>
      </c>
      <c r="G183" s="58">
        <f>IF(Input_Data!K183="",NA(),CONVERT(Input_Data!K183,"psi","Pa"))</f>
        <v>3.9894863253955477</v>
      </c>
      <c r="H183" s="59">
        <f t="shared" si="12"/>
        <v>63.152294311567701</v>
      </c>
      <c r="I183" s="60">
        <f t="shared" si="13"/>
        <v>1.8003891330188833</v>
      </c>
      <c r="J183" s="59">
        <f t="shared" si="14"/>
        <v>0.18298496700358169</v>
      </c>
      <c r="K183" s="59">
        <f t="shared" si="15"/>
        <v>154.97660342301415</v>
      </c>
      <c r="L183" s="61">
        <f t="shared" si="16"/>
        <v>2.1902661383558573</v>
      </c>
      <c r="M183" s="61">
        <f t="shared" si="17"/>
        <v>0.60091698079763922</v>
      </c>
    </row>
    <row r="184" spans="1:13" s="62" customFormat="1" ht="18.75" customHeight="1" x14ac:dyDescent="0.3">
      <c r="A184" s="53">
        <v>178</v>
      </c>
      <c r="B184" s="54">
        <f>IF(Input_Data!B184="",NA(),Input_Data!B184)</f>
        <v>36790</v>
      </c>
      <c r="C184" s="55" t="str">
        <f>IF(Input_Data!C184="",NA(),Input_Data!C184)</f>
        <v>Seis 21</v>
      </c>
      <c r="D184" s="56">
        <f>IF(Input_Data!D184="",NA(),CONVERT(Input_Data!D184,"ft","m"))</f>
        <v>1015.5936</v>
      </c>
      <c r="E184" s="57">
        <f>IF(Input_Data!E184="",NA(),CONVERT(Input_Data!E184,"lbm","g")/1000)</f>
        <v>218.40472615500002</v>
      </c>
      <c r="F184" s="58">
        <f>IF(Input_Data!F184="",NA(),CONVERT(Input_Data!F184,"in","m")*1000)</f>
        <v>0.76200000000000001</v>
      </c>
      <c r="G184" s="58">
        <f>IF(Input_Data!K184="",NA(),CONVERT(Input_Data!K184,"psi","Pa"))</f>
        <v>28.243400259219452</v>
      </c>
      <c r="H184" s="59">
        <f t="shared" si="12"/>
        <v>68.72091595236563</v>
      </c>
      <c r="I184" s="60">
        <f t="shared" si="13"/>
        <v>1.837088939391391</v>
      </c>
      <c r="J184" s="59">
        <f t="shared" si="14"/>
        <v>-0.1180450286603995</v>
      </c>
      <c r="K184" s="59">
        <f t="shared" si="15"/>
        <v>168.64207792471692</v>
      </c>
      <c r="L184" s="61">
        <f t="shared" si="16"/>
        <v>2.2269659447283652</v>
      </c>
      <c r="M184" s="61">
        <f t="shared" si="17"/>
        <v>1.4509169807976396</v>
      </c>
    </row>
    <row r="185" spans="1:13" s="62" customFormat="1" ht="18.75" customHeight="1" x14ac:dyDescent="0.3">
      <c r="A185" s="53">
        <v>179</v>
      </c>
      <c r="B185" s="54">
        <f>IF(Input_Data!B185="",NA(),Input_Data!B185)</f>
        <v>36785</v>
      </c>
      <c r="C185" s="55" t="str">
        <f>IF(Input_Data!C185="",NA(),Input_Data!C185)</f>
        <v>Seis 15</v>
      </c>
      <c r="D185" s="56">
        <f>IF(Input_Data!D185="",NA(),CONVERT(Input_Data!D185,"ft","m"))</f>
        <v>77.724000000000004</v>
      </c>
      <c r="E185" s="57">
        <f>IF(Input_Data!E185="",NA(),CONVERT(Input_Data!E185,"lbm","g")/1000)</f>
        <v>170.32393493500001</v>
      </c>
      <c r="F185" s="58">
        <f>IF(Input_Data!F185="",NA(),CONVERT(Input_Data!F185,"in","m")*1000)</f>
        <v>45.72</v>
      </c>
      <c r="G185" s="58">
        <f>IF(Input_Data!K185="",NA(),CONVERT(Input_Data!K185,"psi","Pa"))</f>
        <v>70.944213890827498</v>
      </c>
      <c r="H185" s="59">
        <f t="shared" si="12"/>
        <v>5.9554872903615301</v>
      </c>
      <c r="I185" s="60">
        <f t="shared" si="13"/>
        <v>0.77491730215077936</v>
      </c>
      <c r="J185" s="59">
        <f t="shared" si="14"/>
        <v>1.6601062217232441</v>
      </c>
      <c r="K185" s="59">
        <f t="shared" si="15"/>
        <v>14.02156799867619</v>
      </c>
      <c r="L185" s="61">
        <f t="shared" si="16"/>
        <v>1.1467965824676922</v>
      </c>
      <c r="M185" s="61">
        <f t="shared" si="17"/>
        <v>1.8509169807976396</v>
      </c>
    </row>
    <row r="186" spans="1:13" s="62" customFormat="1" ht="18.75" customHeight="1" x14ac:dyDescent="0.3">
      <c r="A186" s="53">
        <v>180</v>
      </c>
      <c r="B186" s="54">
        <f>IF(Input_Data!B186="",NA(),Input_Data!B186)</f>
        <v>36785</v>
      </c>
      <c r="C186" s="55" t="str">
        <f>IF(Input_Data!C186="",NA(),Input_Data!C186)</f>
        <v>Seis 16</v>
      </c>
      <c r="D186" s="56">
        <f>IF(Input_Data!D186="",NA(),CONVERT(Input_Data!D186,"ft","m"))</f>
        <v>160.93440000000001</v>
      </c>
      <c r="E186" s="57">
        <f>IF(Input_Data!E186="",NA(),CONVERT(Input_Data!E186,"lbm","g")/1000)</f>
        <v>170.32393493500001</v>
      </c>
      <c r="F186" s="58">
        <f>IF(Input_Data!F186="",NA(),CONVERT(Input_Data!F186,"in","m")*1000)</f>
        <v>41.655999999999999</v>
      </c>
      <c r="G186" s="58">
        <f>IF(Input_Data!K186="",NA(),CONVERT(Input_Data!K186,"psi","Pa"))</f>
        <v>31.689616303081074</v>
      </c>
      <c r="H186" s="59">
        <f t="shared" si="12"/>
        <v>12.331361918866227</v>
      </c>
      <c r="I186" s="60">
        <f t="shared" si="13"/>
        <v>1.0910110442506364</v>
      </c>
      <c r="J186" s="59">
        <f t="shared" si="14"/>
        <v>1.619677564667636</v>
      </c>
      <c r="K186" s="59">
        <f t="shared" si="15"/>
        <v>29.032893738435405</v>
      </c>
      <c r="L186" s="61">
        <f t="shared" si="16"/>
        <v>1.4628903245675493</v>
      </c>
      <c r="M186" s="61">
        <f t="shared" si="17"/>
        <v>1.5009169807976395</v>
      </c>
    </row>
    <row r="187" spans="1:13" s="62" customFormat="1" ht="18.75" customHeight="1" x14ac:dyDescent="0.3">
      <c r="A187" s="53">
        <v>181</v>
      </c>
      <c r="B187" s="54">
        <f>IF(Input_Data!B187="",NA(),Input_Data!B187)</f>
        <v>36785</v>
      </c>
      <c r="C187" s="55" t="str">
        <f>IF(Input_Data!C187="",NA(),Input_Data!C187)</f>
        <v>Seis 17</v>
      </c>
      <c r="D187" s="56">
        <f>IF(Input_Data!D187="",NA(),CONVERT(Input_Data!D187,"ft","m"))</f>
        <v>274.01519999999999</v>
      </c>
      <c r="E187" s="57">
        <f>IF(Input_Data!E187="",NA(),CONVERT(Input_Data!E187,"lbm","g")/1000)</f>
        <v>170.32393493500001</v>
      </c>
      <c r="F187" s="58">
        <f>IF(Input_Data!F187="",NA(),CONVERT(Input_Data!F187,"in","m")*1000)</f>
        <v>14.224</v>
      </c>
      <c r="G187" s="58">
        <f>IF(Input_Data!K187="",NA(),CONVERT(Input_Data!K187,"psi","Pa"))</f>
        <v>17.820380826648311</v>
      </c>
      <c r="H187" s="59">
        <f t="shared" si="12"/>
        <v>20.996012055039277</v>
      </c>
      <c r="I187" s="60">
        <f t="shared" si="13"/>
        <v>1.3221368134500531</v>
      </c>
      <c r="J187" s="59">
        <f t="shared" si="14"/>
        <v>1.1530217436261385</v>
      </c>
      <c r="K187" s="59">
        <f t="shared" si="15"/>
        <v>49.432900512979977</v>
      </c>
      <c r="L187" s="61">
        <f t="shared" si="16"/>
        <v>1.6940160937669657</v>
      </c>
      <c r="M187" s="61">
        <f t="shared" si="17"/>
        <v>1.2509169807976397</v>
      </c>
    </row>
    <row r="188" spans="1:13" s="62" customFormat="1" ht="18.75" customHeight="1" x14ac:dyDescent="0.3">
      <c r="A188" s="53">
        <v>182</v>
      </c>
      <c r="B188" s="54">
        <f>IF(Input_Data!B188="",NA(),Input_Data!B188)</f>
        <v>36785</v>
      </c>
      <c r="C188" s="55" t="str">
        <f>IF(Input_Data!C188="",NA(),Input_Data!C188)</f>
        <v>Seis 18</v>
      </c>
      <c r="D188" s="56">
        <f>IF(Input_Data!D188="",NA(),CONVERT(Input_Data!D188,"ft","m"))</f>
        <v>354.17759999999998</v>
      </c>
      <c r="E188" s="57">
        <f>IF(Input_Data!E188="",NA(),CONVERT(Input_Data!E188,"lbm","g")/1000)</f>
        <v>170.32393493500001</v>
      </c>
      <c r="F188" s="58">
        <f>IF(Input_Data!F188="",NA(),CONVERT(Input_Data!F188,"in","m")*1000)</f>
        <v>15.24</v>
      </c>
      <c r="G188" s="58">
        <f>IF(Input_Data!K188="",NA(),CONVERT(Input_Data!K188,"psi","Pa"))</f>
        <v>14.155231644145974</v>
      </c>
      <c r="H188" s="59">
        <f t="shared" si="12"/>
        <v>27.138338162353325</v>
      </c>
      <c r="I188" s="60">
        <f t="shared" si="13"/>
        <v>1.433583249771136</v>
      </c>
      <c r="J188" s="59">
        <f t="shared" si="14"/>
        <v>1.1829849670035817</v>
      </c>
      <c r="K188" s="59">
        <f t="shared" si="15"/>
        <v>63.894360841026398</v>
      </c>
      <c r="L188" s="61">
        <f t="shared" si="16"/>
        <v>1.8054625300880489</v>
      </c>
      <c r="M188" s="61">
        <f t="shared" si="17"/>
        <v>1.1509169807976394</v>
      </c>
    </row>
    <row r="189" spans="1:13" s="62" customFormat="1" ht="18.75" customHeight="1" x14ac:dyDescent="0.3">
      <c r="A189" s="53">
        <v>183</v>
      </c>
      <c r="B189" s="54">
        <f>IF(Input_Data!B189="",NA(),Input_Data!B189)</f>
        <v>36785</v>
      </c>
      <c r="C189" s="55" t="str">
        <f>IF(Input_Data!C189="",NA(),Input_Data!C189)</f>
        <v>Seis 19</v>
      </c>
      <c r="D189" s="56">
        <f>IF(Input_Data!D189="",NA(),CONVERT(Input_Data!D189,"ft","m"))</f>
        <v>850.69680000000005</v>
      </c>
      <c r="E189" s="57">
        <f>IF(Input_Data!E189="",NA(),CONVERT(Input_Data!E189,"lbm","g")/1000)</f>
        <v>170.32393493500001</v>
      </c>
      <c r="F189" s="58">
        <f>IF(Input_Data!F189="",NA(),CONVERT(Input_Data!F189,"in","m")*1000)</f>
        <v>1.27</v>
      </c>
      <c r="G189" s="58">
        <f>IF(Input_Data!K189="",NA(),CONVERT(Input_Data!K189,"psi","Pa"))</f>
        <v>5.6352992183802844</v>
      </c>
      <c r="H189" s="59">
        <f t="shared" si="12"/>
        <v>65.18339226430993</v>
      </c>
      <c r="I189" s="60">
        <f t="shared" si="13"/>
        <v>1.8141369582054554</v>
      </c>
      <c r="J189" s="59">
        <f t="shared" si="14"/>
        <v>0.10380372095595687</v>
      </c>
      <c r="K189" s="59">
        <f t="shared" si="15"/>
        <v>153.46743640904018</v>
      </c>
      <c r="L189" s="61">
        <f t="shared" si="16"/>
        <v>2.186016238522368</v>
      </c>
      <c r="M189" s="61">
        <f t="shared" si="17"/>
        <v>0.75091698079763947</v>
      </c>
    </row>
    <row r="190" spans="1:13" s="62" customFormat="1" ht="18.75" customHeight="1" x14ac:dyDescent="0.3">
      <c r="A190" s="53">
        <v>184</v>
      </c>
      <c r="B190" s="54">
        <f>IF(Input_Data!B190="",NA(),Input_Data!B190)</f>
        <v>36785</v>
      </c>
      <c r="C190" s="55" t="str">
        <f>IF(Input_Data!C190="",NA(),Input_Data!C190)</f>
        <v>Seis 21</v>
      </c>
      <c r="D190" s="56">
        <f>IF(Input_Data!D190="",NA(),CONVERT(Input_Data!D190,"ft","m"))</f>
        <v>997.91520000000003</v>
      </c>
      <c r="E190" s="57">
        <f>IF(Input_Data!E190="",NA(),CONVERT(Input_Data!E190,"lbm","g")/1000)</f>
        <v>170.32393493500001</v>
      </c>
      <c r="F190" s="58">
        <f>IF(Input_Data!F190="",NA(),CONVERT(Input_Data!F190,"in","m")*1000)</f>
        <v>0.76200000000000001</v>
      </c>
      <c r="G190" s="58">
        <f>IF(Input_Data!K190="",NA(),CONVERT(Input_Data!K190,"psi","Pa"))</f>
        <v>3.9894863253955477</v>
      </c>
      <c r="H190" s="59">
        <f t="shared" si="12"/>
        <v>76.463785837818236</v>
      </c>
      <c r="I190" s="60">
        <f t="shared" si="13"/>
        <v>1.8834557967927468</v>
      </c>
      <c r="J190" s="59">
        <f t="shared" si="14"/>
        <v>-0.1180450286603995</v>
      </c>
      <c r="K190" s="59">
        <f t="shared" si="15"/>
        <v>180.02593579476803</v>
      </c>
      <c r="L190" s="61">
        <f t="shared" si="16"/>
        <v>2.2553350771096596</v>
      </c>
      <c r="M190" s="61">
        <f t="shared" si="17"/>
        <v>0.60091698079763922</v>
      </c>
    </row>
    <row r="191" spans="1:13" s="62" customFormat="1" ht="18.75" customHeight="1" x14ac:dyDescent="0.3">
      <c r="A191" s="53">
        <v>185</v>
      </c>
      <c r="B191" s="54" t="e">
        <f>IF(Input_Data!B191="",NA(),Input_Data!B191)</f>
        <v>#N/A</v>
      </c>
      <c r="C191" s="55" t="e">
        <f>IF(Input_Data!C191="",NA(),Input_Data!C191)</f>
        <v>#N/A</v>
      </c>
      <c r="D191" s="56" t="e">
        <f>IF(Input_Data!D191="",NA(),CONVERT(Input_Data!D191,"ft","m"))</f>
        <v>#N/A</v>
      </c>
      <c r="E191" s="57" t="e">
        <f>IF(Input_Data!E191="",NA(),CONVERT(Input_Data!E191,"lbm","g")/1000)</f>
        <v>#N/A</v>
      </c>
      <c r="F191" s="58" t="e">
        <f>IF(Input_Data!F191="",NA(),CONVERT(Input_Data!F191,"in","m")*1000)</f>
        <v>#N/A</v>
      </c>
      <c r="G191" s="58" t="e">
        <f>IF(Input_Data!K191="",NA(),CONVERT(Input_Data!K191,"psi","Pa"))</f>
        <v>#N/A</v>
      </c>
      <c r="H191" s="59" t="e">
        <f t="shared" si="12"/>
        <v>#N/A</v>
      </c>
      <c r="I191" s="60" t="e">
        <f t="shared" si="13"/>
        <v>#N/A</v>
      </c>
      <c r="J191" s="59" t="e">
        <f t="shared" si="14"/>
        <v>#N/A</v>
      </c>
      <c r="K191" s="59" t="e">
        <f t="shared" si="15"/>
        <v>#N/A</v>
      </c>
      <c r="L191" s="61" t="e">
        <f t="shared" si="16"/>
        <v>#N/A</v>
      </c>
      <c r="M191" s="61" t="e">
        <f t="shared" si="17"/>
        <v>#N/A</v>
      </c>
    </row>
    <row r="192" spans="1:13" s="62" customFormat="1" ht="18.75" customHeight="1" x14ac:dyDescent="0.3">
      <c r="A192" s="53">
        <v>186</v>
      </c>
      <c r="B192" s="54" t="e">
        <f>IF(Input_Data!B192="",NA(),Input_Data!B192)</f>
        <v>#N/A</v>
      </c>
      <c r="C192" s="55" t="e">
        <f>IF(Input_Data!C192="",NA(),Input_Data!C192)</f>
        <v>#N/A</v>
      </c>
      <c r="D192" s="56" t="e">
        <f>IF(Input_Data!D192="",NA(),CONVERT(Input_Data!D192,"ft","m"))</f>
        <v>#N/A</v>
      </c>
      <c r="E192" s="57" t="e">
        <f>IF(Input_Data!E192="",NA(),CONVERT(Input_Data!E192,"lbm","g")/1000)</f>
        <v>#N/A</v>
      </c>
      <c r="F192" s="58" t="e">
        <f>IF(Input_Data!F192="",NA(),CONVERT(Input_Data!F192,"in","m")*1000)</f>
        <v>#N/A</v>
      </c>
      <c r="G192" s="58" t="e">
        <f>IF(Input_Data!K192="",NA(),CONVERT(Input_Data!K192,"psi","Pa"))</f>
        <v>#N/A</v>
      </c>
      <c r="H192" s="59" t="e">
        <f t="shared" si="12"/>
        <v>#N/A</v>
      </c>
      <c r="I192" s="60" t="e">
        <f t="shared" si="13"/>
        <v>#N/A</v>
      </c>
      <c r="J192" s="59" t="e">
        <f t="shared" si="14"/>
        <v>#N/A</v>
      </c>
      <c r="K192" s="59" t="e">
        <f t="shared" si="15"/>
        <v>#N/A</v>
      </c>
      <c r="L192" s="61" t="e">
        <f t="shared" si="16"/>
        <v>#N/A</v>
      </c>
      <c r="M192" s="61" t="e">
        <f t="shared" si="17"/>
        <v>#N/A</v>
      </c>
    </row>
    <row r="193" spans="1:13" s="62" customFormat="1" ht="18.75" customHeight="1" x14ac:dyDescent="0.3">
      <c r="A193" s="53">
        <v>187</v>
      </c>
      <c r="B193" s="54" t="e">
        <f>IF(Input_Data!B193="",NA(),Input_Data!B193)</f>
        <v>#N/A</v>
      </c>
      <c r="C193" s="55" t="e">
        <f>IF(Input_Data!C193="",NA(),Input_Data!C193)</f>
        <v>#N/A</v>
      </c>
      <c r="D193" s="56" t="e">
        <f>IF(Input_Data!D193="",NA(),CONVERT(Input_Data!D193,"ft","m"))</f>
        <v>#N/A</v>
      </c>
      <c r="E193" s="57" t="e">
        <f>IF(Input_Data!E193="",NA(),CONVERT(Input_Data!E193,"lbm","g")/1000)</f>
        <v>#N/A</v>
      </c>
      <c r="F193" s="58" t="e">
        <f>IF(Input_Data!F193="",NA(),CONVERT(Input_Data!F193,"in","m")*1000)</f>
        <v>#N/A</v>
      </c>
      <c r="G193" s="58" t="e">
        <f>IF(Input_Data!K193="",NA(),CONVERT(Input_Data!K193,"psi","Pa"))</f>
        <v>#N/A</v>
      </c>
      <c r="H193" s="59" t="e">
        <f t="shared" si="12"/>
        <v>#N/A</v>
      </c>
      <c r="I193" s="60" t="e">
        <f t="shared" si="13"/>
        <v>#N/A</v>
      </c>
      <c r="J193" s="59" t="e">
        <f t="shared" si="14"/>
        <v>#N/A</v>
      </c>
      <c r="K193" s="59" t="e">
        <f t="shared" si="15"/>
        <v>#N/A</v>
      </c>
      <c r="L193" s="61" t="e">
        <f t="shared" si="16"/>
        <v>#N/A</v>
      </c>
      <c r="M193" s="61" t="e">
        <f t="shared" si="17"/>
        <v>#N/A</v>
      </c>
    </row>
    <row r="194" spans="1:13" s="62" customFormat="1" ht="18.75" customHeight="1" x14ac:dyDescent="0.3">
      <c r="A194" s="53">
        <v>188</v>
      </c>
      <c r="B194" s="54" t="e">
        <f>IF(Input_Data!B194="",NA(),Input_Data!B194)</f>
        <v>#N/A</v>
      </c>
      <c r="C194" s="55" t="e">
        <f>IF(Input_Data!C194="",NA(),Input_Data!C194)</f>
        <v>#N/A</v>
      </c>
      <c r="D194" s="56" t="e">
        <f>IF(Input_Data!D194="",NA(),CONVERT(Input_Data!D194,"ft","m"))</f>
        <v>#N/A</v>
      </c>
      <c r="E194" s="57" t="e">
        <f>IF(Input_Data!E194="",NA(),CONVERT(Input_Data!E194,"lbm","g")/1000)</f>
        <v>#N/A</v>
      </c>
      <c r="F194" s="58" t="e">
        <f>IF(Input_Data!F194="",NA(),CONVERT(Input_Data!F194,"in","m")*1000)</f>
        <v>#N/A</v>
      </c>
      <c r="G194" s="58" t="e">
        <f>IF(Input_Data!K194="",NA(),CONVERT(Input_Data!K194,"psi","Pa"))</f>
        <v>#N/A</v>
      </c>
      <c r="H194" s="59" t="e">
        <f t="shared" si="12"/>
        <v>#N/A</v>
      </c>
      <c r="I194" s="60" t="e">
        <f t="shared" si="13"/>
        <v>#N/A</v>
      </c>
      <c r="J194" s="59" t="e">
        <f t="shared" si="14"/>
        <v>#N/A</v>
      </c>
      <c r="K194" s="59" t="e">
        <f t="shared" si="15"/>
        <v>#N/A</v>
      </c>
      <c r="L194" s="61" t="e">
        <f t="shared" si="16"/>
        <v>#N/A</v>
      </c>
      <c r="M194" s="61" t="e">
        <f t="shared" si="17"/>
        <v>#N/A</v>
      </c>
    </row>
    <row r="195" spans="1:13" s="62" customFormat="1" ht="18.75" customHeight="1" x14ac:dyDescent="0.3">
      <c r="A195" s="53">
        <v>189</v>
      </c>
      <c r="B195" s="54" t="e">
        <f>IF(Input_Data!B195="",NA(),Input_Data!B195)</f>
        <v>#N/A</v>
      </c>
      <c r="C195" s="55" t="e">
        <f>IF(Input_Data!C195="",NA(),Input_Data!C195)</f>
        <v>#N/A</v>
      </c>
      <c r="D195" s="56" t="e">
        <f>IF(Input_Data!D195="",NA(),CONVERT(Input_Data!D195,"ft","m"))</f>
        <v>#N/A</v>
      </c>
      <c r="E195" s="57" t="e">
        <f>IF(Input_Data!E195="",NA(),CONVERT(Input_Data!E195,"lbm","g")/1000)</f>
        <v>#N/A</v>
      </c>
      <c r="F195" s="58" t="e">
        <f>IF(Input_Data!F195="",NA(),CONVERT(Input_Data!F195,"in","m")*1000)</f>
        <v>#N/A</v>
      </c>
      <c r="G195" s="58" t="e">
        <f>IF(Input_Data!K195="",NA(),CONVERT(Input_Data!K195,"psi","Pa"))</f>
        <v>#N/A</v>
      </c>
      <c r="H195" s="59" t="e">
        <f t="shared" si="12"/>
        <v>#N/A</v>
      </c>
      <c r="I195" s="60" t="e">
        <f t="shared" si="13"/>
        <v>#N/A</v>
      </c>
      <c r="J195" s="59" t="e">
        <f t="shared" si="14"/>
        <v>#N/A</v>
      </c>
      <c r="K195" s="59" t="e">
        <f t="shared" si="15"/>
        <v>#N/A</v>
      </c>
      <c r="L195" s="61" t="e">
        <f t="shared" si="16"/>
        <v>#N/A</v>
      </c>
      <c r="M195" s="61" t="e">
        <f t="shared" si="17"/>
        <v>#N/A</v>
      </c>
    </row>
    <row r="196" spans="1:13" s="62" customFormat="1" ht="18.75" customHeight="1" x14ac:dyDescent="0.3">
      <c r="A196" s="53">
        <v>190</v>
      </c>
      <c r="B196" s="54" t="e">
        <f>IF(Input_Data!B196="",NA(),Input_Data!B196)</f>
        <v>#N/A</v>
      </c>
      <c r="C196" s="55" t="e">
        <f>IF(Input_Data!C196="",NA(),Input_Data!C196)</f>
        <v>#N/A</v>
      </c>
      <c r="D196" s="56" t="e">
        <f>IF(Input_Data!D196="",NA(),CONVERT(Input_Data!D196,"ft","m"))</f>
        <v>#N/A</v>
      </c>
      <c r="E196" s="57" t="e">
        <f>IF(Input_Data!E196="",NA(),CONVERT(Input_Data!E196,"lbm","g")/1000)</f>
        <v>#N/A</v>
      </c>
      <c r="F196" s="58" t="e">
        <f>IF(Input_Data!F196="",NA(),CONVERT(Input_Data!F196,"in","m")*1000)</f>
        <v>#N/A</v>
      </c>
      <c r="G196" s="58" t="e">
        <f>IF(Input_Data!K196="",NA(),CONVERT(Input_Data!K196,"psi","Pa"))</f>
        <v>#N/A</v>
      </c>
      <c r="H196" s="59" t="e">
        <f t="shared" si="12"/>
        <v>#N/A</v>
      </c>
      <c r="I196" s="60" t="e">
        <f t="shared" si="13"/>
        <v>#N/A</v>
      </c>
      <c r="J196" s="59" t="e">
        <f t="shared" si="14"/>
        <v>#N/A</v>
      </c>
      <c r="K196" s="59" t="e">
        <f t="shared" si="15"/>
        <v>#N/A</v>
      </c>
      <c r="L196" s="61" t="e">
        <f t="shared" si="16"/>
        <v>#N/A</v>
      </c>
      <c r="M196" s="61" t="e">
        <f t="shared" si="17"/>
        <v>#N/A</v>
      </c>
    </row>
    <row r="197" spans="1:13" s="62" customFormat="1" ht="18.75" customHeight="1" x14ac:dyDescent="0.3">
      <c r="A197" s="53">
        <v>191</v>
      </c>
      <c r="B197" s="54" t="e">
        <f>IF(Input_Data!B197="",NA(),Input_Data!B197)</f>
        <v>#N/A</v>
      </c>
      <c r="C197" s="55" t="e">
        <f>IF(Input_Data!C197="",NA(),Input_Data!C197)</f>
        <v>#N/A</v>
      </c>
      <c r="D197" s="56" t="e">
        <f>IF(Input_Data!D197="",NA(),CONVERT(Input_Data!D197,"ft","m"))</f>
        <v>#N/A</v>
      </c>
      <c r="E197" s="57" t="e">
        <f>IF(Input_Data!E197="",NA(),CONVERT(Input_Data!E197,"lbm","g")/1000)</f>
        <v>#N/A</v>
      </c>
      <c r="F197" s="58" t="e">
        <f>IF(Input_Data!F197="",NA(),CONVERT(Input_Data!F197,"in","m")*1000)</f>
        <v>#N/A</v>
      </c>
      <c r="G197" s="58" t="e">
        <f>IF(Input_Data!K197="",NA(),CONVERT(Input_Data!K197,"psi","Pa"))</f>
        <v>#N/A</v>
      </c>
      <c r="H197" s="59" t="e">
        <f t="shared" si="12"/>
        <v>#N/A</v>
      </c>
      <c r="I197" s="60" t="e">
        <f t="shared" si="13"/>
        <v>#N/A</v>
      </c>
      <c r="J197" s="59" t="e">
        <f t="shared" si="14"/>
        <v>#N/A</v>
      </c>
      <c r="K197" s="59" t="e">
        <f t="shared" si="15"/>
        <v>#N/A</v>
      </c>
      <c r="L197" s="61" t="e">
        <f t="shared" si="16"/>
        <v>#N/A</v>
      </c>
      <c r="M197" s="61" t="e">
        <f t="shared" si="17"/>
        <v>#N/A</v>
      </c>
    </row>
    <row r="198" spans="1:13" s="62" customFormat="1" ht="18.75" customHeight="1" x14ac:dyDescent="0.3">
      <c r="A198" s="53">
        <v>192</v>
      </c>
      <c r="B198" s="54" t="e">
        <f>IF(Input_Data!B198="",NA(),Input_Data!B198)</f>
        <v>#N/A</v>
      </c>
      <c r="C198" s="55" t="e">
        <f>IF(Input_Data!C198="",NA(),Input_Data!C198)</f>
        <v>#N/A</v>
      </c>
      <c r="D198" s="56" t="e">
        <f>IF(Input_Data!D198="",NA(),CONVERT(Input_Data!D198,"ft","m"))</f>
        <v>#N/A</v>
      </c>
      <c r="E198" s="57" t="e">
        <f>IF(Input_Data!E198="",NA(),CONVERT(Input_Data!E198,"lbm","g")/1000)</f>
        <v>#N/A</v>
      </c>
      <c r="F198" s="58" t="e">
        <f>IF(Input_Data!F198="",NA(),CONVERT(Input_Data!F198,"in","m")*1000)</f>
        <v>#N/A</v>
      </c>
      <c r="G198" s="58" t="e">
        <f>IF(Input_Data!K198="",NA(),CONVERT(Input_Data!K198,"psi","Pa"))</f>
        <v>#N/A</v>
      </c>
      <c r="H198" s="59" t="e">
        <f t="shared" si="12"/>
        <v>#N/A</v>
      </c>
      <c r="I198" s="60" t="e">
        <f t="shared" si="13"/>
        <v>#N/A</v>
      </c>
      <c r="J198" s="59" t="e">
        <f t="shared" si="14"/>
        <v>#N/A</v>
      </c>
      <c r="K198" s="59" t="e">
        <f t="shared" si="15"/>
        <v>#N/A</v>
      </c>
      <c r="L198" s="61" t="e">
        <f t="shared" si="16"/>
        <v>#N/A</v>
      </c>
      <c r="M198" s="61" t="e">
        <f t="shared" si="17"/>
        <v>#N/A</v>
      </c>
    </row>
    <row r="199" spans="1:13" s="62" customFormat="1" ht="18.75" customHeight="1" x14ac:dyDescent="0.3">
      <c r="A199" s="53">
        <v>193</v>
      </c>
      <c r="B199" s="54" t="e">
        <f>IF(Input_Data!B199="",NA(),Input_Data!B199)</f>
        <v>#N/A</v>
      </c>
      <c r="C199" s="55" t="e">
        <f>IF(Input_Data!C199="",NA(),Input_Data!C199)</f>
        <v>#N/A</v>
      </c>
      <c r="D199" s="56" t="e">
        <f>IF(Input_Data!D199="",NA(),CONVERT(Input_Data!D199,"ft","m"))</f>
        <v>#N/A</v>
      </c>
      <c r="E199" s="57" t="e">
        <f>IF(Input_Data!E199="",NA(),CONVERT(Input_Data!E199,"lbm","g")/1000)</f>
        <v>#N/A</v>
      </c>
      <c r="F199" s="58" t="e">
        <f>IF(Input_Data!F199="",NA(),CONVERT(Input_Data!F199,"in","m")*1000)</f>
        <v>#N/A</v>
      </c>
      <c r="G199" s="58" t="e">
        <f>IF(Input_Data!K199="",NA(),CONVERT(Input_Data!K199,"psi","Pa"))</f>
        <v>#N/A</v>
      </c>
      <c r="H199" s="59" t="e">
        <f t="shared" si="12"/>
        <v>#N/A</v>
      </c>
      <c r="I199" s="60" t="e">
        <f t="shared" si="13"/>
        <v>#N/A</v>
      </c>
      <c r="J199" s="59" t="e">
        <f t="shared" si="14"/>
        <v>#N/A</v>
      </c>
      <c r="K199" s="59" t="e">
        <f t="shared" si="15"/>
        <v>#N/A</v>
      </c>
      <c r="L199" s="61" t="e">
        <f t="shared" si="16"/>
        <v>#N/A</v>
      </c>
      <c r="M199" s="61" t="e">
        <f t="shared" si="17"/>
        <v>#N/A</v>
      </c>
    </row>
    <row r="200" spans="1:13" s="62" customFormat="1" ht="18.75" customHeight="1" x14ac:dyDescent="0.3">
      <c r="A200" s="53">
        <v>194</v>
      </c>
      <c r="B200" s="54" t="e">
        <f>IF(Input_Data!B200="",NA(),Input_Data!B200)</f>
        <v>#N/A</v>
      </c>
      <c r="C200" s="55" t="e">
        <f>IF(Input_Data!C200="",NA(),Input_Data!C200)</f>
        <v>#N/A</v>
      </c>
      <c r="D200" s="56" t="e">
        <f>IF(Input_Data!D200="",NA(),CONVERT(Input_Data!D200,"ft","m"))</f>
        <v>#N/A</v>
      </c>
      <c r="E200" s="57" t="e">
        <f>IF(Input_Data!E200="",NA(),CONVERT(Input_Data!E200,"lbm","g")/1000)</f>
        <v>#N/A</v>
      </c>
      <c r="F200" s="58" t="e">
        <f>IF(Input_Data!F200="",NA(),CONVERT(Input_Data!F200,"in","m")*1000)</f>
        <v>#N/A</v>
      </c>
      <c r="G200" s="58" t="e">
        <f>IF(Input_Data!K200="",NA(),CONVERT(Input_Data!K200,"psi","Pa"))</f>
        <v>#N/A</v>
      </c>
      <c r="H200" s="59" t="e">
        <f t="shared" ref="H200:H226" si="18">IF(OR(D200="",E200=""),NA(),D200/(E200^0.5))</f>
        <v>#N/A</v>
      </c>
      <c r="I200" s="60" t="e">
        <f t="shared" ref="I200:I226" si="19">IFERROR(LOG(H200),NA())</f>
        <v>#N/A</v>
      </c>
      <c r="J200" s="59" t="e">
        <f t="shared" ref="J200:J226" si="20">IFERROR(LOG(F200),NA())</f>
        <v>#N/A</v>
      </c>
      <c r="K200" s="59" t="e">
        <f t="shared" ref="K200:K226" si="21">IF(OR(D200="",E200=""),NA(),D200/(E200^(1/3)))</f>
        <v>#N/A</v>
      </c>
      <c r="L200" s="61" t="e">
        <f t="shared" ref="L200:L226" si="22">IFERROR(LOG(K200),NA())</f>
        <v>#N/A</v>
      </c>
      <c r="M200" s="61" t="e">
        <f t="shared" ref="M200:M226" si="23">IFERROR(LOG(G200),NA())</f>
        <v>#N/A</v>
      </c>
    </row>
    <row r="201" spans="1:13" s="62" customFormat="1" ht="18.75" customHeight="1" x14ac:dyDescent="0.3">
      <c r="A201" s="53">
        <v>195</v>
      </c>
      <c r="B201" s="54" t="e">
        <f>IF(Input_Data!B201="",NA(),Input_Data!B201)</f>
        <v>#N/A</v>
      </c>
      <c r="C201" s="55" t="e">
        <f>IF(Input_Data!C201="",NA(),Input_Data!C201)</f>
        <v>#N/A</v>
      </c>
      <c r="D201" s="56" t="e">
        <f>IF(Input_Data!D201="",NA(),CONVERT(Input_Data!D201,"ft","m"))</f>
        <v>#N/A</v>
      </c>
      <c r="E201" s="57" t="e">
        <f>IF(Input_Data!E201="",NA(),CONVERT(Input_Data!E201,"lbm","g")/1000)</f>
        <v>#N/A</v>
      </c>
      <c r="F201" s="58" t="e">
        <f>IF(Input_Data!F201="",NA(),CONVERT(Input_Data!F201,"in","m")*1000)</f>
        <v>#N/A</v>
      </c>
      <c r="G201" s="58" t="e">
        <f>IF(Input_Data!K201="",NA(),CONVERT(Input_Data!K201,"psi","Pa"))</f>
        <v>#N/A</v>
      </c>
      <c r="H201" s="59" t="e">
        <f t="shared" si="18"/>
        <v>#N/A</v>
      </c>
      <c r="I201" s="60" t="e">
        <f t="shared" si="19"/>
        <v>#N/A</v>
      </c>
      <c r="J201" s="59" t="e">
        <f t="shared" si="20"/>
        <v>#N/A</v>
      </c>
      <c r="K201" s="59" t="e">
        <f t="shared" si="21"/>
        <v>#N/A</v>
      </c>
      <c r="L201" s="61" t="e">
        <f t="shared" si="22"/>
        <v>#N/A</v>
      </c>
      <c r="M201" s="61" t="e">
        <f t="shared" si="23"/>
        <v>#N/A</v>
      </c>
    </row>
    <row r="202" spans="1:13" s="62" customFormat="1" ht="18.75" customHeight="1" x14ac:dyDescent="0.3">
      <c r="A202" s="53">
        <v>196</v>
      </c>
      <c r="B202" s="54" t="e">
        <f>IF(Input_Data!B202="",NA(),Input_Data!B202)</f>
        <v>#N/A</v>
      </c>
      <c r="C202" s="55" t="e">
        <f>IF(Input_Data!C202="",NA(),Input_Data!C202)</f>
        <v>#N/A</v>
      </c>
      <c r="D202" s="56" t="e">
        <f>IF(Input_Data!D202="",NA(),CONVERT(Input_Data!D202,"ft","m"))</f>
        <v>#N/A</v>
      </c>
      <c r="E202" s="57" t="e">
        <f>IF(Input_Data!E202="",NA(),CONVERT(Input_Data!E202,"lbm","g")/1000)</f>
        <v>#N/A</v>
      </c>
      <c r="F202" s="58" t="e">
        <f>IF(Input_Data!F202="",NA(),CONVERT(Input_Data!F202,"in","m")*1000)</f>
        <v>#N/A</v>
      </c>
      <c r="G202" s="58" t="e">
        <f>IF(Input_Data!K202="",NA(),CONVERT(Input_Data!K202,"psi","Pa"))</f>
        <v>#N/A</v>
      </c>
      <c r="H202" s="59" t="e">
        <f t="shared" si="18"/>
        <v>#N/A</v>
      </c>
      <c r="I202" s="60" t="e">
        <f t="shared" si="19"/>
        <v>#N/A</v>
      </c>
      <c r="J202" s="59" t="e">
        <f t="shared" si="20"/>
        <v>#N/A</v>
      </c>
      <c r="K202" s="59" t="e">
        <f t="shared" si="21"/>
        <v>#N/A</v>
      </c>
      <c r="L202" s="61" t="e">
        <f t="shared" si="22"/>
        <v>#N/A</v>
      </c>
      <c r="M202" s="61" t="e">
        <f t="shared" si="23"/>
        <v>#N/A</v>
      </c>
    </row>
    <row r="203" spans="1:13" s="62" customFormat="1" ht="18.75" customHeight="1" x14ac:dyDescent="0.3">
      <c r="A203" s="53">
        <v>197</v>
      </c>
      <c r="B203" s="54" t="e">
        <f>IF(Input_Data!B203="",NA(),Input_Data!B203)</f>
        <v>#N/A</v>
      </c>
      <c r="C203" s="55" t="e">
        <f>IF(Input_Data!C203="",NA(),Input_Data!C203)</f>
        <v>#N/A</v>
      </c>
      <c r="D203" s="56" t="e">
        <f>IF(Input_Data!D203="",NA(),CONVERT(Input_Data!D203,"ft","m"))</f>
        <v>#N/A</v>
      </c>
      <c r="E203" s="57" t="e">
        <f>IF(Input_Data!E203="",NA(),CONVERT(Input_Data!E203,"lbm","g")/1000)</f>
        <v>#N/A</v>
      </c>
      <c r="F203" s="58" t="e">
        <f>IF(Input_Data!F203="",NA(),CONVERT(Input_Data!F203,"in","m")*1000)</f>
        <v>#N/A</v>
      </c>
      <c r="G203" s="58" t="e">
        <f>IF(Input_Data!K203="",NA(),CONVERT(Input_Data!K203,"psi","Pa"))</f>
        <v>#N/A</v>
      </c>
      <c r="H203" s="59" t="e">
        <f t="shared" si="18"/>
        <v>#N/A</v>
      </c>
      <c r="I203" s="60" t="e">
        <f t="shared" si="19"/>
        <v>#N/A</v>
      </c>
      <c r="J203" s="59" t="e">
        <f t="shared" si="20"/>
        <v>#N/A</v>
      </c>
      <c r="K203" s="59" t="e">
        <f t="shared" si="21"/>
        <v>#N/A</v>
      </c>
      <c r="L203" s="61" t="e">
        <f t="shared" si="22"/>
        <v>#N/A</v>
      </c>
      <c r="M203" s="61" t="e">
        <f t="shared" si="23"/>
        <v>#N/A</v>
      </c>
    </row>
    <row r="204" spans="1:13" s="62" customFormat="1" ht="18.75" customHeight="1" x14ac:dyDescent="0.3">
      <c r="A204" s="53">
        <v>198</v>
      </c>
      <c r="B204" s="54" t="e">
        <f>IF(Input_Data!B204="",NA(),Input_Data!B204)</f>
        <v>#N/A</v>
      </c>
      <c r="C204" s="55" t="e">
        <f>IF(Input_Data!C204="",NA(),Input_Data!C204)</f>
        <v>#N/A</v>
      </c>
      <c r="D204" s="56" t="e">
        <f>IF(Input_Data!D204="",NA(),CONVERT(Input_Data!D204,"ft","m"))</f>
        <v>#N/A</v>
      </c>
      <c r="E204" s="57" t="e">
        <f>IF(Input_Data!E204="",NA(),CONVERT(Input_Data!E204,"lbm","g")/1000)</f>
        <v>#N/A</v>
      </c>
      <c r="F204" s="58" t="e">
        <f>IF(Input_Data!F204="",NA(),CONVERT(Input_Data!F204,"in","m")*1000)</f>
        <v>#N/A</v>
      </c>
      <c r="G204" s="58" t="e">
        <f>IF(Input_Data!K204="",NA(),CONVERT(Input_Data!K204,"psi","Pa"))</f>
        <v>#N/A</v>
      </c>
      <c r="H204" s="59" t="e">
        <f t="shared" si="18"/>
        <v>#N/A</v>
      </c>
      <c r="I204" s="60" t="e">
        <f t="shared" si="19"/>
        <v>#N/A</v>
      </c>
      <c r="J204" s="59" t="e">
        <f t="shared" si="20"/>
        <v>#N/A</v>
      </c>
      <c r="K204" s="59" t="e">
        <f t="shared" si="21"/>
        <v>#N/A</v>
      </c>
      <c r="L204" s="61" t="e">
        <f t="shared" si="22"/>
        <v>#N/A</v>
      </c>
      <c r="M204" s="61" t="e">
        <f t="shared" si="23"/>
        <v>#N/A</v>
      </c>
    </row>
    <row r="205" spans="1:13" s="62" customFormat="1" ht="18.75" customHeight="1" x14ac:dyDescent="0.3">
      <c r="A205" s="53">
        <v>199</v>
      </c>
      <c r="B205" s="54" t="e">
        <f>IF(Input_Data!B205="",NA(),Input_Data!B205)</f>
        <v>#N/A</v>
      </c>
      <c r="C205" s="55" t="e">
        <f>IF(Input_Data!C205="",NA(),Input_Data!C205)</f>
        <v>#N/A</v>
      </c>
      <c r="D205" s="56" t="e">
        <f>IF(Input_Data!D205="",NA(),CONVERT(Input_Data!D205,"ft","m"))</f>
        <v>#N/A</v>
      </c>
      <c r="E205" s="57" t="e">
        <f>IF(Input_Data!E205="",NA(),CONVERT(Input_Data!E205,"lbm","g")/1000)</f>
        <v>#N/A</v>
      </c>
      <c r="F205" s="58" t="e">
        <f>IF(Input_Data!F205="",NA(),CONVERT(Input_Data!F205,"in","m")*1000)</f>
        <v>#N/A</v>
      </c>
      <c r="G205" s="58" t="e">
        <f>IF(Input_Data!K205="",NA(),CONVERT(Input_Data!K205,"psi","Pa"))</f>
        <v>#N/A</v>
      </c>
      <c r="H205" s="59" t="e">
        <f t="shared" si="18"/>
        <v>#N/A</v>
      </c>
      <c r="I205" s="60" t="e">
        <f t="shared" si="19"/>
        <v>#N/A</v>
      </c>
      <c r="J205" s="59" t="e">
        <f t="shared" si="20"/>
        <v>#N/A</v>
      </c>
      <c r="K205" s="59" t="e">
        <f t="shared" si="21"/>
        <v>#N/A</v>
      </c>
      <c r="L205" s="61" t="e">
        <f t="shared" si="22"/>
        <v>#N/A</v>
      </c>
      <c r="M205" s="61" t="e">
        <f t="shared" si="23"/>
        <v>#N/A</v>
      </c>
    </row>
    <row r="206" spans="1:13" s="62" customFormat="1" ht="18.75" customHeight="1" x14ac:dyDescent="0.3">
      <c r="A206" s="53">
        <v>200</v>
      </c>
      <c r="B206" s="54" t="e">
        <f>IF(Input_Data!B206="",NA(),Input_Data!B206)</f>
        <v>#N/A</v>
      </c>
      <c r="C206" s="55" t="e">
        <f>IF(Input_Data!C206="",NA(),Input_Data!C206)</f>
        <v>#N/A</v>
      </c>
      <c r="D206" s="56" t="e">
        <f>IF(Input_Data!D206="",NA(),CONVERT(Input_Data!D206,"ft","m"))</f>
        <v>#N/A</v>
      </c>
      <c r="E206" s="57" t="e">
        <f>IF(Input_Data!E206="",NA(),CONVERT(Input_Data!E206,"lbm","g")/1000)</f>
        <v>#N/A</v>
      </c>
      <c r="F206" s="58" t="e">
        <f>IF(Input_Data!F206="",NA(),CONVERT(Input_Data!F206,"in","m")*1000)</f>
        <v>#N/A</v>
      </c>
      <c r="G206" s="58" t="e">
        <f>IF(Input_Data!K206="",NA(),CONVERT(Input_Data!K206,"psi","Pa"))</f>
        <v>#N/A</v>
      </c>
      <c r="H206" s="59" t="e">
        <f t="shared" si="18"/>
        <v>#N/A</v>
      </c>
      <c r="I206" s="60" t="e">
        <f t="shared" si="19"/>
        <v>#N/A</v>
      </c>
      <c r="J206" s="59" t="e">
        <f t="shared" si="20"/>
        <v>#N/A</v>
      </c>
      <c r="K206" s="59" t="e">
        <f t="shared" si="21"/>
        <v>#N/A</v>
      </c>
      <c r="L206" s="61" t="e">
        <f t="shared" si="22"/>
        <v>#N/A</v>
      </c>
      <c r="M206" s="61" t="e">
        <f t="shared" si="23"/>
        <v>#N/A</v>
      </c>
    </row>
    <row r="207" spans="1:13" s="62" customFormat="1" ht="18.75" customHeight="1" x14ac:dyDescent="0.3">
      <c r="A207" s="53">
        <v>201</v>
      </c>
      <c r="B207" s="54" t="e">
        <f>IF(Input_Data!B207="",NA(),Input_Data!B207)</f>
        <v>#N/A</v>
      </c>
      <c r="C207" s="55" t="e">
        <f>IF(Input_Data!C207="",NA(),Input_Data!C207)</f>
        <v>#N/A</v>
      </c>
      <c r="D207" s="56" t="e">
        <f>IF(Input_Data!D207="",NA(),CONVERT(Input_Data!D207,"ft","m"))</f>
        <v>#N/A</v>
      </c>
      <c r="E207" s="57" t="e">
        <f>IF(Input_Data!E207="",NA(),CONVERT(Input_Data!E207,"lbm","g")/1000)</f>
        <v>#N/A</v>
      </c>
      <c r="F207" s="58" t="e">
        <f>IF(Input_Data!F207="",NA(),CONVERT(Input_Data!F207,"in","m")*1000)</f>
        <v>#N/A</v>
      </c>
      <c r="G207" s="58" t="e">
        <f>IF(Input_Data!K207="",NA(),CONVERT(Input_Data!K207,"psi","Pa"))</f>
        <v>#N/A</v>
      </c>
      <c r="H207" s="59" t="e">
        <f t="shared" si="18"/>
        <v>#N/A</v>
      </c>
      <c r="I207" s="60" t="e">
        <f t="shared" si="19"/>
        <v>#N/A</v>
      </c>
      <c r="J207" s="59" t="e">
        <f t="shared" si="20"/>
        <v>#N/A</v>
      </c>
      <c r="K207" s="59" t="e">
        <f t="shared" si="21"/>
        <v>#N/A</v>
      </c>
      <c r="L207" s="61" t="e">
        <f t="shared" si="22"/>
        <v>#N/A</v>
      </c>
      <c r="M207" s="61" t="e">
        <f t="shared" si="23"/>
        <v>#N/A</v>
      </c>
    </row>
    <row r="208" spans="1:13" s="62" customFormat="1" ht="18.75" customHeight="1" x14ac:dyDescent="0.3">
      <c r="A208" s="53">
        <v>202</v>
      </c>
      <c r="B208" s="54" t="e">
        <f>IF(Input_Data!B208="",NA(),Input_Data!B208)</f>
        <v>#N/A</v>
      </c>
      <c r="C208" s="55" t="e">
        <f>IF(Input_Data!C208="",NA(),Input_Data!C208)</f>
        <v>#N/A</v>
      </c>
      <c r="D208" s="56" t="e">
        <f>IF(Input_Data!D208="",NA(),CONVERT(Input_Data!D208,"ft","m"))</f>
        <v>#N/A</v>
      </c>
      <c r="E208" s="57" t="e">
        <f>IF(Input_Data!E208="",NA(),CONVERT(Input_Data!E208,"lbm","g")/1000)</f>
        <v>#N/A</v>
      </c>
      <c r="F208" s="58" t="e">
        <f>IF(Input_Data!F208="",NA(),CONVERT(Input_Data!F208,"in","m")*1000)</f>
        <v>#N/A</v>
      </c>
      <c r="G208" s="58" t="e">
        <f>IF(Input_Data!K208="",NA(),CONVERT(Input_Data!K208,"psi","Pa"))</f>
        <v>#N/A</v>
      </c>
      <c r="H208" s="59" t="e">
        <f t="shared" si="18"/>
        <v>#N/A</v>
      </c>
      <c r="I208" s="60" t="e">
        <f t="shared" si="19"/>
        <v>#N/A</v>
      </c>
      <c r="J208" s="59" t="e">
        <f t="shared" si="20"/>
        <v>#N/A</v>
      </c>
      <c r="K208" s="59" t="e">
        <f t="shared" si="21"/>
        <v>#N/A</v>
      </c>
      <c r="L208" s="61" t="e">
        <f t="shared" si="22"/>
        <v>#N/A</v>
      </c>
      <c r="M208" s="61" t="e">
        <f t="shared" si="23"/>
        <v>#N/A</v>
      </c>
    </row>
    <row r="209" spans="1:13" s="62" customFormat="1" ht="18.75" customHeight="1" x14ac:dyDescent="0.3">
      <c r="A209" s="53">
        <v>203</v>
      </c>
      <c r="B209" s="54" t="e">
        <f>IF(Input_Data!B209="",NA(),Input_Data!B209)</f>
        <v>#N/A</v>
      </c>
      <c r="C209" s="55" t="e">
        <f>IF(Input_Data!C209="",NA(),Input_Data!C209)</f>
        <v>#N/A</v>
      </c>
      <c r="D209" s="56" t="e">
        <f>IF(Input_Data!D209="",NA(),CONVERT(Input_Data!D209,"ft","m"))</f>
        <v>#N/A</v>
      </c>
      <c r="E209" s="57" t="e">
        <f>IF(Input_Data!E209="",NA(),CONVERT(Input_Data!E209,"lbm","g")/1000)</f>
        <v>#N/A</v>
      </c>
      <c r="F209" s="58" t="e">
        <f>IF(Input_Data!F209="",NA(),CONVERT(Input_Data!F209,"in","m")*1000)</f>
        <v>#N/A</v>
      </c>
      <c r="G209" s="58" t="e">
        <f>IF(Input_Data!K209="",NA(),CONVERT(Input_Data!K209,"psi","Pa"))</f>
        <v>#N/A</v>
      </c>
      <c r="H209" s="59" t="e">
        <f t="shared" si="18"/>
        <v>#N/A</v>
      </c>
      <c r="I209" s="60" t="e">
        <f t="shared" si="19"/>
        <v>#N/A</v>
      </c>
      <c r="J209" s="59" t="e">
        <f t="shared" si="20"/>
        <v>#N/A</v>
      </c>
      <c r="K209" s="59" t="e">
        <f t="shared" si="21"/>
        <v>#N/A</v>
      </c>
      <c r="L209" s="61" t="e">
        <f t="shared" si="22"/>
        <v>#N/A</v>
      </c>
      <c r="M209" s="61" t="e">
        <f t="shared" si="23"/>
        <v>#N/A</v>
      </c>
    </row>
    <row r="210" spans="1:13" s="62" customFormat="1" ht="18.75" customHeight="1" x14ac:dyDescent="0.3">
      <c r="A210" s="53">
        <v>204</v>
      </c>
      <c r="B210" s="54" t="e">
        <f>IF(Input_Data!B210="",NA(),Input_Data!B210)</f>
        <v>#N/A</v>
      </c>
      <c r="C210" s="55" t="e">
        <f>IF(Input_Data!C210="",NA(),Input_Data!C210)</f>
        <v>#N/A</v>
      </c>
      <c r="D210" s="56" t="e">
        <f>IF(Input_Data!D210="",NA(),CONVERT(Input_Data!D210,"ft","m"))</f>
        <v>#N/A</v>
      </c>
      <c r="E210" s="57" t="e">
        <f>IF(Input_Data!E210="",NA(),CONVERT(Input_Data!E210,"lbm","g")/1000)</f>
        <v>#N/A</v>
      </c>
      <c r="F210" s="58" t="e">
        <f>IF(Input_Data!F210="",NA(),CONVERT(Input_Data!F210,"in","m")*1000)</f>
        <v>#N/A</v>
      </c>
      <c r="G210" s="58" t="e">
        <f>IF(Input_Data!K210="",NA(),CONVERT(Input_Data!K210,"psi","Pa"))</f>
        <v>#N/A</v>
      </c>
      <c r="H210" s="59" t="e">
        <f t="shared" si="18"/>
        <v>#N/A</v>
      </c>
      <c r="I210" s="60" t="e">
        <f t="shared" si="19"/>
        <v>#N/A</v>
      </c>
      <c r="J210" s="59" t="e">
        <f t="shared" si="20"/>
        <v>#N/A</v>
      </c>
      <c r="K210" s="59" t="e">
        <f t="shared" si="21"/>
        <v>#N/A</v>
      </c>
      <c r="L210" s="61" t="e">
        <f t="shared" si="22"/>
        <v>#N/A</v>
      </c>
      <c r="M210" s="61" t="e">
        <f t="shared" si="23"/>
        <v>#N/A</v>
      </c>
    </row>
    <row r="211" spans="1:13" s="62" customFormat="1" ht="18.75" customHeight="1" x14ac:dyDescent="0.3">
      <c r="A211" s="53">
        <v>205</v>
      </c>
      <c r="B211" s="54" t="e">
        <f>IF(Input_Data!B211="",NA(),Input_Data!B211)</f>
        <v>#N/A</v>
      </c>
      <c r="C211" s="55" t="e">
        <f>IF(Input_Data!C211="",NA(),Input_Data!C211)</f>
        <v>#N/A</v>
      </c>
      <c r="D211" s="56" t="e">
        <f>IF(Input_Data!D211="",NA(),CONVERT(Input_Data!D211,"ft","m"))</f>
        <v>#N/A</v>
      </c>
      <c r="E211" s="57" t="e">
        <f>IF(Input_Data!E211="",NA(),CONVERT(Input_Data!E211,"lbm","g")/1000)</f>
        <v>#N/A</v>
      </c>
      <c r="F211" s="58" t="e">
        <f>IF(Input_Data!F211="",NA(),CONVERT(Input_Data!F211,"in","m")*1000)</f>
        <v>#N/A</v>
      </c>
      <c r="G211" s="58" t="e">
        <f>IF(Input_Data!K211="",NA(),CONVERT(Input_Data!K211,"psi","Pa"))</f>
        <v>#N/A</v>
      </c>
      <c r="H211" s="59" t="e">
        <f t="shared" si="18"/>
        <v>#N/A</v>
      </c>
      <c r="I211" s="60" t="e">
        <f t="shared" si="19"/>
        <v>#N/A</v>
      </c>
      <c r="J211" s="59" t="e">
        <f t="shared" si="20"/>
        <v>#N/A</v>
      </c>
      <c r="K211" s="59" t="e">
        <f t="shared" si="21"/>
        <v>#N/A</v>
      </c>
      <c r="L211" s="61" t="e">
        <f t="shared" si="22"/>
        <v>#N/A</v>
      </c>
      <c r="M211" s="61" t="e">
        <f t="shared" si="23"/>
        <v>#N/A</v>
      </c>
    </row>
    <row r="212" spans="1:13" s="62" customFormat="1" ht="18.75" customHeight="1" x14ac:dyDescent="0.3">
      <c r="A212" s="53">
        <v>206</v>
      </c>
      <c r="B212" s="54" t="e">
        <f>IF(Input_Data!B212="",NA(),Input_Data!B212)</f>
        <v>#N/A</v>
      </c>
      <c r="C212" s="55" t="e">
        <f>IF(Input_Data!C212="",NA(),Input_Data!C212)</f>
        <v>#N/A</v>
      </c>
      <c r="D212" s="56" t="e">
        <f>IF(Input_Data!D212="",NA(),CONVERT(Input_Data!D212,"ft","m"))</f>
        <v>#N/A</v>
      </c>
      <c r="E212" s="57" t="e">
        <f>IF(Input_Data!E212="",NA(),CONVERT(Input_Data!E212,"lbm","g")/1000)</f>
        <v>#N/A</v>
      </c>
      <c r="F212" s="58" t="e">
        <f>IF(Input_Data!F212="",NA(),CONVERT(Input_Data!F212,"in","m")*1000)</f>
        <v>#N/A</v>
      </c>
      <c r="G212" s="58" t="e">
        <f>IF(Input_Data!K212="",NA(),CONVERT(Input_Data!K212,"psi","Pa"))</f>
        <v>#N/A</v>
      </c>
      <c r="H212" s="59" t="e">
        <f t="shared" si="18"/>
        <v>#N/A</v>
      </c>
      <c r="I212" s="60" t="e">
        <f t="shared" si="19"/>
        <v>#N/A</v>
      </c>
      <c r="J212" s="59" t="e">
        <f t="shared" si="20"/>
        <v>#N/A</v>
      </c>
      <c r="K212" s="59" t="e">
        <f t="shared" si="21"/>
        <v>#N/A</v>
      </c>
      <c r="L212" s="61" t="e">
        <f t="shared" si="22"/>
        <v>#N/A</v>
      </c>
      <c r="M212" s="61" t="e">
        <f t="shared" si="23"/>
        <v>#N/A</v>
      </c>
    </row>
    <row r="213" spans="1:13" s="62" customFormat="1" ht="18.75" customHeight="1" x14ac:dyDescent="0.3">
      <c r="A213" s="53">
        <v>207</v>
      </c>
      <c r="B213" s="54" t="e">
        <f>IF(Input_Data!B213="",NA(),Input_Data!B213)</f>
        <v>#N/A</v>
      </c>
      <c r="C213" s="55" t="e">
        <f>IF(Input_Data!C213="",NA(),Input_Data!C213)</f>
        <v>#N/A</v>
      </c>
      <c r="D213" s="56" t="e">
        <f>IF(Input_Data!D213="",NA(),CONVERT(Input_Data!D213,"ft","m"))</f>
        <v>#N/A</v>
      </c>
      <c r="E213" s="57" t="e">
        <f>IF(Input_Data!E213="",NA(),CONVERT(Input_Data!E213,"lbm","g")/1000)</f>
        <v>#N/A</v>
      </c>
      <c r="F213" s="58" t="e">
        <f>IF(Input_Data!F213="",NA(),CONVERT(Input_Data!F213,"in","m")*1000)</f>
        <v>#N/A</v>
      </c>
      <c r="G213" s="58" t="e">
        <f>IF(Input_Data!K213="",NA(),CONVERT(Input_Data!K213,"psi","Pa"))</f>
        <v>#N/A</v>
      </c>
      <c r="H213" s="59" t="e">
        <f t="shared" si="18"/>
        <v>#N/A</v>
      </c>
      <c r="I213" s="60" t="e">
        <f t="shared" si="19"/>
        <v>#N/A</v>
      </c>
      <c r="J213" s="59" t="e">
        <f t="shared" si="20"/>
        <v>#N/A</v>
      </c>
      <c r="K213" s="59" t="e">
        <f t="shared" si="21"/>
        <v>#N/A</v>
      </c>
      <c r="L213" s="61" t="e">
        <f t="shared" si="22"/>
        <v>#N/A</v>
      </c>
      <c r="M213" s="61" t="e">
        <f t="shared" si="23"/>
        <v>#N/A</v>
      </c>
    </row>
    <row r="214" spans="1:13" s="62" customFormat="1" ht="18.75" customHeight="1" x14ac:dyDescent="0.3">
      <c r="A214" s="53">
        <v>208</v>
      </c>
      <c r="B214" s="54" t="e">
        <f>IF(Input_Data!B214="",NA(),Input_Data!B214)</f>
        <v>#N/A</v>
      </c>
      <c r="C214" s="55" t="e">
        <f>IF(Input_Data!C214="",NA(),Input_Data!C214)</f>
        <v>#N/A</v>
      </c>
      <c r="D214" s="56" t="e">
        <f>IF(Input_Data!D214="",NA(),CONVERT(Input_Data!D214,"ft","m"))</f>
        <v>#N/A</v>
      </c>
      <c r="E214" s="57" t="e">
        <f>IF(Input_Data!E214="",NA(),CONVERT(Input_Data!E214,"lbm","g")/1000)</f>
        <v>#N/A</v>
      </c>
      <c r="F214" s="58" t="e">
        <f>IF(Input_Data!F214="",NA(),CONVERT(Input_Data!F214,"in","m")*1000)</f>
        <v>#N/A</v>
      </c>
      <c r="G214" s="58" t="e">
        <f>IF(Input_Data!K214="",NA(),CONVERT(Input_Data!K214,"psi","Pa"))</f>
        <v>#N/A</v>
      </c>
      <c r="H214" s="59" t="e">
        <f t="shared" si="18"/>
        <v>#N/A</v>
      </c>
      <c r="I214" s="60" t="e">
        <f t="shared" si="19"/>
        <v>#N/A</v>
      </c>
      <c r="J214" s="59" t="e">
        <f t="shared" si="20"/>
        <v>#N/A</v>
      </c>
      <c r="K214" s="59" t="e">
        <f t="shared" si="21"/>
        <v>#N/A</v>
      </c>
      <c r="L214" s="61" t="e">
        <f t="shared" si="22"/>
        <v>#N/A</v>
      </c>
      <c r="M214" s="61" t="e">
        <f t="shared" si="23"/>
        <v>#N/A</v>
      </c>
    </row>
    <row r="215" spans="1:13" s="62" customFormat="1" ht="18.75" customHeight="1" x14ac:dyDescent="0.3">
      <c r="A215" s="53">
        <v>209</v>
      </c>
      <c r="B215" s="54" t="e">
        <f>IF(Input_Data!B215="",NA(),Input_Data!B215)</f>
        <v>#N/A</v>
      </c>
      <c r="C215" s="55" t="e">
        <f>IF(Input_Data!C215="",NA(),Input_Data!C215)</f>
        <v>#N/A</v>
      </c>
      <c r="D215" s="56" t="e">
        <f>IF(Input_Data!D215="",NA(),CONVERT(Input_Data!D215,"ft","m"))</f>
        <v>#N/A</v>
      </c>
      <c r="E215" s="57" t="e">
        <f>IF(Input_Data!E215="",NA(),CONVERT(Input_Data!E215,"lbm","g")/1000)</f>
        <v>#N/A</v>
      </c>
      <c r="F215" s="58" t="e">
        <f>IF(Input_Data!F215="",NA(),CONVERT(Input_Data!F215,"in","m")*1000)</f>
        <v>#N/A</v>
      </c>
      <c r="G215" s="58" t="e">
        <f>IF(Input_Data!K215="",NA(),CONVERT(Input_Data!K215,"psi","Pa"))</f>
        <v>#N/A</v>
      </c>
      <c r="H215" s="59" t="e">
        <f t="shared" si="18"/>
        <v>#N/A</v>
      </c>
      <c r="I215" s="60" t="e">
        <f t="shared" si="19"/>
        <v>#N/A</v>
      </c>
      <c r="J215" s="59" t="e">
        <f t="shared" si="20"/>
        <v>#N/A</v>
      </c>
      <c r="K215" s="59" t="e">
        <f t="shared" si="21"/>
        <v>#N/A</v>
      </c>
      <c r="L215" s="61" t="e">
        <f t="shared" si="22"/>
        <v>#N/A</v>
      </c>
      <c r="M215" s="61" t="e">
        <f t="shared" si="23"/>
        <v>#N/A</v>
      </c>
    </row>
    <row r="216" spans="1:13" s="62" customFormat="1" ht="18.75" customHeight="1" x14ac:dyDescent="0.3">
      <c r="A216" s="53">
        <v>210</v>
      </c>
      <c r="B216" s="54" t="e">
        <f>IF(Input_Data!B216="",NA(),Input_Data!B216)</f>
        <v>#N/A</v>
      </c>
      <c r="C216" s="55" t="e">
        <f>IF(Input_Data!C216="",NA(),Input_Data!C216)</f>
        <v>#N/A</v>
      </c>
      <c r="D216" s="56" t="e">
        <f>IF(Input_Data!D216="",NA(),CONVERT(Input_Data!D216,"ft","m"))</f>
        <v>#N/A</v>
      </c>
      <c r="E216" s="57" t="e">
        <f>IF(Input_Data!E216="",NA(),CONVERT(Input_Data!E216,"lbm","g")/1000)</f>
        <v>#N/A</v>
      </c>
      <c r="F216" s="58" t="e">
        <f>IF(Input_Data!F216="",NA(),CONVERT(Input_Data!F216,"in","m")*1000)</f>
        <v>#N/A</v>
      </c>
      <c r="G216" s="58" t="e">
        <f>IF(Input_Data!K216="",NA(),CONVERT(Input_Data!K216,"psi","Pa"))</f>
        <v>#N/A</v>
      </c>
      <c r="H216" s="59" t="e">
        <f t="shared" si="18"/>
        <v>#N/A</v>
      </c>
      <c r="I216" s="60" t="e">
        <f t="shared" si="19"/>
        <v>#N/A</v>
      </c>
      <c r="J216" s="59" t="e">
        <f t="shared" si="20"/>
        <v>#N/A</v>
      </c>
      <c r="K216" s="59" t="e">
        <f t="shared" si="21"/>
        <v>#N/A</v>
      </c>
      <c r="L216" s="61" t="e">
        <f t="shared" si="22"/>
        <v>#N/A</v>
      </c>
      <c r="M216" s="61" t="e">
        <f t="shared" si="23"/>
        <v>#N/A</v>
      </c>
    </row>
    <row r="217" spans="1:13" s="62" customFormat="1" ht="18.75" customHeight="1" x14ac:dyDescent="0.3">
      <c r="A217" s="53">
        <v>211</v>
      </c>
      <c r="B217" s="54" t="e">
        <f>IF(Input_Data!B217="",NA(),Input_Data!B217)</f>
        <v>#N/A</v>
      </c>
      <c r="C217" s="55" t="e">
        <f>IF(Input_Data!C217="",NA(),Input_Data!C217)</f>
        <v>#N/A</v>
      </c>
      <c r="D217" s="56" t="e">
        <f>IF(Input_Data!D217="",NA(),CONVERT(Input_Data!D217,"ft","m"))</f>
        <v>#N/A</v>
      </c>
      <c r="E217" s="57" t="e">
        <f>IF(Input_Data!E217="",NA(),CONVERT(Input_Data!E217,"lbm","g")/1000)</f>
        <v>#N/A</v>
      </c>
      <c r="F217" s="58" t="e">
        <f>IF(Input_Data!F217="",NA(),CONVERT(Input_Data!F217,"in","m")*1000)</f>
        <v>#N/A</v>
      </c>
      <c r="G217" s="58" t="e">
        <f>IF(Input_Data!K217="",NA(),CONVERT(Input_Data!K217,"psi","Pa"))</f>
        <v>#N/A</v>
      </c>
      <c r="H217" s="59" t="e">
        <f t="shared" si="18"/>
        <v>#N/A</v>
      </c>
      <c r="I217" s="60" t="e">
        <f t="shared" si="19"/>
        <v>#N/A</v>
      </c>
      <c r="J217" s="59" t="e">
        <f t="shared" si="20"/>
        <v>#N/A</v>
      </c>
      <c r="K217" s="59" t="e">
        <f t="shared" si="21"/>
        <v>#N/A</v>
      </c>
      <c r="L217" s="61" t="e">
        <f t="shared" si="22"/>
        <v>#N/A</v>
      </c>
      <c r="M217" s="61" t="e">
        <f t="shared" si="23"/>
        <v>#N/A</v>
      </c>
    </row>
    <row r="218" spans="1:13" s="62" customFormat="1" ht="18.75" customHeight="1" x14ac:dyDescent="0.3">
      <c r="A218" s="53">
        <v>212</v>
      </c>
      <c r="B218" s="54" t="e">
        <f>IF(Input_Data!B218="",NA(),Input_Data!B218)</f>
        <v>#N/A</v>
      </c>
      <c r="C218" s="55" t="e">
        <f>IF(Input_Data!C218="",NA(),Input_Data!C218)</f>
        <v>#N/A</v>
      </c>
      <c r="D218" s="56" t="e">
        <f>IF(Input_Data!D218="",NA(),CONVERT(Input_Data!D218,"ft","m"))</f>
        <v>#N/A</v>
      </c>
      <c r="E218" s="57" t="e">
        <f>IF(Input_Data!E218="",NA(),CONVERT(Input_Data!E218,"lbm","g")/1000)</f>
        <v>#N/A</v>
      </c>
      <c r="F218" s="58" t="e">
        <f>IF(Input_Data!F218="",NA(),CONVERT(Input_Data!F218,"in","m")*1000)</f>
        <v>#N/A</v>
      </c>
      <c r="G218" s="58" t="e">
        <f>IF(Input_Data!K218="",NA(),CONVERT(Input_Data!K218,"psi","Pa"))</f>
        <v>#N/A</v>
      </c>
      <c r="H218" s="59" t="e">
        <f t="shared" si="18"/>
        <v>#N/A</v>
      </c>
      <c r="I218" s="60" t="e">
        <f t="shared" si="19"/>
        <v>#N/A</v>
      </c>
      <c r="J218" s="59" t="e">
        <f t="shared" si="20"/>
        <v>#N/A</v>
      </c>
      <c r="K218" s="59" t="e">
        <f t="shared" si="21"/>
        <v>#N/A</v>
      </c>
      <c r="L218" s="61" t="e">
        <f t="shared" si="22"/>
        <v>#N/A</v>
      </c>
      <c r="M218" s="61" t="e">
        <f t="shared" si="23"/>
        <v>#N/A</v>
      </c>
    </row>
    <row r="219" spans="1:13" s="62" customFormat="1" ht="18.75" customHeight="1" x14ac:dyDescent="0.3">
      <c r="A219" s="53">
        <v>213</v>
      </c>
      <c r="B219" s="54" t="e">
        <f>IF(Input_Data!B219="",NA(),Input_Data!B219)</f>
        <v>#N/A</v>
      </c>
      <c r="C219" s="55" t="e">
        <f>IF(Input_Data!C219="",NA(),Input_Data!C219)</f>
        <v>#N/A</v>
      </c>
      <c r="D219" s="56" t="e">
        <f>IF(Input_Data!D219="",NA(),CONVERT(Input_Data!D219,"ft","m"))</f>
        <v>#N/A</v>
      </c>
      <c r="E219" s="57" t="e">
        <f>IF(Input_Data!E219="",NA(),CONVERT(Input_Data!E219,"lbm","g")/1000)</f>
        <v>#N/A</v>
      </c>
      <c r="F219" s="58" t="e">
        <f>IF(Input_Data!F219="",NA(),CONVERT(Input_Data!F219,"in","m")*1000)</f>
        <v>#N/A</v>
      </c>
      <c r="G219" s="58" t="e">
        <f>IF(Input_Data!K219="",NA(),CONVERT(Input_Data!K219,"psi","Pa"))</f>
        <v>#N/A</v>
      </c>
      <c r="H219" s="59" t="e">
        <f t="shared" si="18"/>
        <v>#N/A</v>
      </c>
      <c r="I219" s="60" t="e">
        <f t="shared" si="19"/>
        <v>#N/A</v>
      </c>
      <c r="J219" s="59" t="e">
        <f t="shared" si="20"/>
        <v>#N/A</v>
      </c>
      <c r="K219" s="59" t="e">
        <f t="shared" si="21"/>
        <v>#N/A</v>
      </c>
      <c r="L219" s="61" t="e">
        <f t="shared" si="22"/>
        <v>#N/A</v>
      </c>
      <c r="M219" s="61" t="e">
        <f t="shared" si="23"/>
        <v>#N/A</v>
      </c>
    </row>
    <row r="220" spans="1:13" s="62" customFormat="1" ht="18.75" customHeight="1" x14ac:dyDescent="0.3">
      <c r="A220" s="53">
        <v>214</v>
      </c>
      <c r="B220" s="54" t="e">
        <f>IF(Input_Data!B220="",NA(),Input_Data!B220)</f>
        <v>#N/A</v>
      </c>
      <c r="C220" s="55" t="e">
        <f>IF(Input_Data!C220="",NA(),Input_Data!C220)</f>
        <v>#N/A</v>
      </c>
      <c r="D220" s="56" t="e">
        <f>IF(Input_Data!D220="",NA(),CONVERT(Input_Data!D220,"ft","m"))</f>
        <v>#N/A</v>
      </c>
      <c r="E220" s="57" t="e">
        <f>IF(Input_Data!E220="",NA(),CONVERT(Input_Data!E220,"lbm","g")/1000)</f>
        <v>#N/A</v>
      </c>
      <c r="F220" s="58" t="e">
        <f>IF(Input_Data!F220="",NA(),CONVERT(Input_Data!F220,"in","m")*1000)</f>
        <v>#N/A</v>
      </c>
      <c r="G220" s="58" t="e">
        <f>IF(Input_Data!K220="",NA(),CONVERT(Input_Data!K220,"psi","Pa"))</f>
        <v>#N/A</v>
      </c>
      <c r="H220" s="59" t="e">
        <f t="shared" si="18"/>
        <v>#N/A</v>
      </c>
      <c r="I220" s="60" t="e">
        <f t="shared" si="19"/>
        <v>#N/A</v>
      </c>
      <c r="J220" s="59" t="e">
        <f t="shared" si="20"/>
        <v>#N/A</v>
      </c>
      <c r="K220" s="59" t="e">
        <f t="shared" si="21"/>
        <v>#N/A</v>
      </c>
      <c r="L220" s="61" t="e">
        <f t="shared" si="22"/>
        <v>#N/A</v>
      </c>
      <c r="M220" s="61" t="e">
        <f t="shared" si="23"/>
        <v>#N/A</v>
      </c>
    </row>
    <row r="221" spans="1:13" s="62" customFormat="1" ht="18.75" customHeight="1" x14ac:dyDescent="0.3">
      <c r="A221" s="53">
        <v>215</v>
      </c>
      <c r="B221" s="54" t="e">
        <f>IF(Input_Data!B221="",NA(),Input_Data!B221)</f>
        <v>#N/A</v>
      </c>
      <c r="C221" s="55" t="e">
        <f>IF(Input_Data!C221="",NA(),Input_Data!C221)</f>
        <v>#N/A</v>
      </c>
      <c r="D221" s="56" t="e">
        <f>IF(Input_Data!D221="",NA(),CONVERT(Input_Data!D221,"ft","m"))</f>
        <v>#N/A</v>
      </c>
      <c r="E221" s="57" t="e">
        <f>IF(Input_Data!E221="",NA(),CONVERT(Input_Data!E221,"lbm","g")/1000)</f>
        <v>#N/A</v>
      </c>
      <c r="F221" s="58" t="e">
        <f>IF(Input_Data!F221="",NA(),CONVERT(Input_Data!F221,"in","m")*1000)</f>
        <v>#N/A</v>
      </c>
      <c r="G221" s="58" t="e">
        <f>IF(Input_Data!K221="",NA(),CONVERT(Input_Data!K221,"psi","Pa"))</f>
        <v>#N/A</v>
      </c>
      <c r="H221" s="59" t="e">
        <f t="shared" si="18"/>
        <v>#N/A</v>
      </c>
      <c r="I221" s="60" t="e">
        <f t="shared" si="19"/>
        <v>#N/A</v>
      </c>
      <c r="J221" s="59" t="e">
        <f t="shared" si="20"/>
        <v>#N/A</v>
      </c>
      <c r="K221" s="59" t="e">
        <f t="shared" si="21"/>
        <v>#N/A</v>
      </c>
      <c r="L221" s="61" t="e">
        <f t="shared" si="22"/>
        <v>#N/A</v>
      </c>
      <c r="M221" s="61" t="e">
        <f t="shared" si="23"/>
        <v>#N/A</v>
      </c>
    </row>
    <row r="222" spans="1:13" s="62" customFormat="1" ht="18.75" customHeight="1" x14ac:dyDescent="0.3">
      <c r="A222" s="53">
        <v>216</v>
      </c>
      <c r="B222" s="54" t="e">
        <f>IF(Input_Data!B222="",NA(),Input_Data!B222)</f>
        <v>#N/A</v>
      </c>
      <c r="C222" s="55" t="e">
        <f>IF(Input_Data!C222="",NA(),Input_Data!C222)</f>
        <v>#N/A</v>
      </c>
      <c r="D222" s="56" t="e">
        <f>IF(Input_Data!D222="",NA(),CONVERT(Input_Data!D222,"ft","m"))</f>
        <v>#N/A</v>
      </c>
      <c r="E222" s="57" t="e">
        <f>IF(Input_Data!E222="",NA(),CONVERT(Input_Data!E222,"lbm","g")/1000)</f>
        <v>#N/A</v>
      </c>
      <c r="F222" s="58" t="e">
        <f>IF(Input_Data!F222="",NA(),CONVERT(Input_Data!F222,"in","m")*1000)</f>
        <v>#N/A</v>
      </c>
      <c r="G222" s="58" t="e">
        <f>IF(Input_Data!K222="",NA(),CONVERT(Input_Data!K222,"psi","Pa"))</f>
        <v>#N/A</v>
      </c>
      <c r="H222" s="59" t="e">
        <f t="shared" si="18"/>
        <v>#N/A</v>
      </c>
      <c r="I222" s="60" t="e">
        <f t="shared" si="19"/>
        <v>#N/A</v>
      </c>
      <c r="J222" s="59" t="e">
        <f t="shared" si="20"/>
        <v>#N/A</v>
      </c>
      <c r="K222" s="59" t="e">
        <f t="shared" si="21"/>
        <v>#N/A</v>
      </c>
      <c r="L222" s="61" t="e">
        <f t="shared" si="22"/>
        <v>#N/A</v>
      </c>
      <c r="M222" s="61" t="e">
        <f t="shared" si="23"/>
        <v>#N/A</v>
      </c>
    </row>
    <row r="223" spans="1:13" s="62" customFormat="1" ht="18.75" customHeight="1" x14ac:dyDescent="0.3">
      <c r="A223" s="53">
        <v>217</v>
      </c>
      <c r="B223" s="54" t="e">
        <f>IF(Input_Data!B223="",NA(),Input_Data!B223)</f>
        <v>#N/A</v>
      </c>
      <c r="C223" s="55" t="e">
        <f>IF(Input_Data!C223="",NA(),Input_Data!C223)</f>
        <v>#N/A</v>
      </c>
      <c r="D223" s="56" t="e">
        <f>IF(Input_Data!D223="",NA(),CONVERT(Input_Data!D223,"ft","m"))</f>
        <v>#N/A</v>
      </c>
      <c r="E223" s="57" t="e">
        <f>IF(Input_Data!E223="",NA(),CONVERT(Input_Data!E223,"lbm","g")/1000)</f>
        <v>#N/A</v>
      </c>
      <c r="F223" s="58" t="e">
        <f>IF(Input_Data!F223="",NA(),CONVERT(Input_Data!F223,"in","m")*1000)</f>
        <v>#N/A</v>
      </c>
      <c r="G223" s="58" t="e">
        <f>IF(Input_Data!K223="",NA(),CONVERT(Input_Data!K223,"psi","Pa"))</f>
        <v>#N/A</v>
      </c>
      <c r="H223" s="59" t="e">
        <f t="shared" si="18"/>
        <v>#N/A</v>
      </c>
      <c r="I223" s="60" t="e">
        <f t="shared" si="19"/>
        <v>#N/A</v>
      </c>
      <c r="J223" s="59" t="e">
        <f t="shared" si="20"/>
        <v>#N/A</v>
      </c>
      <c r="K223" s="59" t="e">
        <f t="shared" si="21"/>
        <v>#N/A</v>
      </c>
      <c r="L223" s="61" t="e">
        <f t="shared" si="22"/>
        <v>#N/A</v>
      </c>
      <c r="M223" s="61" t="e">
        <f t="shared" si="23"/>
        <v>#N/A</v>
      </c>
    </row>
    <row r="224" spans="1:13" s="62" customFormat="1" ht="18.75" customHeight="1" x14ac:dyDescent="0.3">
      <c r="A224" s="53">
        <v>218</v>
      </c>
      <c r="B224" s="54" t="e">
        <f>IF(Input_Data!B224="",NA(),Input_Data!B224)</f>
        <v>#N/A</v>
      </c>
      <c r="C224" s="55" t="e">
        <f>IF(Input_Data!C224="",NA(),Input_Data!C224)</f>
        <v>#N/A</v>
      </c>
      <c r="D224" s="56" t="e">
        <f>IF(Input_Data!D224="",NA(),CONVERT(Input_Data!D224,"ft","m"))</f>
        <v>#N/A</v>
      </c>
      <c r="E224" s="57" t="e">
        <f>IF(Input_Data!E224="",NA(),CONVERT(Input_Data!E224,"lbm","g")/1000)</f>
        <v>#N/A</v>
      </c>
      <c r="F224" s="58" t="e">
        <f>IF(Input_Data!F224="",NA(),CONVERT(Input_Data!F224,"in","m")*1000)</f>
        <v>#N/A</v>
      </c>
      <c r="G224" s="58" t="e">
        <f>IF(Input_Data!K224="",NA(),CONVERT(Input_Data!K224,"psi","Pa"))</f>
        <v>#N/A</v>
      </c>
      <c r="H224" s="59" t="e">
        <f t="shared" si="18"/>
        <v>#N/A</v>
      </c>
      <c r="I224" s="60" t="e">
        <f t="shared" si="19"/>
        <v>#N/A</v>
      </c>
      <c r="J224" s="59" t="e">
        <f t="shared" si="20"/>
        <v>#N/A</v>
      </c>
      <c r="K224" s="59" t="e">
        <f t="shared" si="21"/>
        <v>#N/A</v>
      </c>
      <c r="L224" s="61" t="e">
        <f t="shared" si="22"/>
        <v>#N/A</v>
      </c>
      <c r="M224" s="61" t="e">
        <f t="shared" si="23"/>
        <v>#N/A</v>
      </c>
    </row>
    <row r="225" spans="1:14" s="62" customFormat="1" ht="18.75" customHeight="1" x14ac:dyDescent="0.3">
      <c r="A225" s="53">
        <v>219</v>
      </c>
      <c r="B225" s="54" t="e">
        <f>IF(Input_Data!B225="",NA(),Input_Data!B225)</f>
        <v>#N/A</v>
      </c>
      <c r="C225" s="55" t="e">
        <f>IF(Input_Data!C225="",NA(),Input_Data!C225)</f>
        <v>#N/A</v>
      </c>
      <c r="D225" s="56" t="e">
        <f>IF(Input_Data!D225="",NA(),CONVERT(Input_Data!D225,"ft","m"))</f>
        <v>#N/A</v>
      </c>
      <c r="E225" s="57" t="e">
        <f>IF(Input_Data!E225="",NA(),CONVERT(Input_Data!E225,"lbm","g")/1000)</f>
        <v>#N/A</v>
      </c>
      <c r="F225" s="58" t="e">
        <f>IF(Input_Data!F225="",NA(),CONVERT(Input_Data!F225,"in","m")*1000)</f>
        <v>#N/A</v>
      </c>
      <c r="G225" s="58" t="e">
        <f>IF(Input_Data!K225="",NA(),CONVERT(Input_Data!K225,"psi","Pa"))</f>
        <v>#N/A</v>
      </c>
      <c r="H225" s="59" t="e">
        <f t="shared" si="18"/>
        <v>#N/A</v>
      </c>
      <c r="I225" s="60" t="e">
        <f t="shared" si="19"/>
        <v>#N/A</v>
      </c>
      <c r="J225" s="59" t="e">
        <f t="shared" si="20"/>
        <v>#N/A</v>
      </c>
      <c r="K225" s="59" t="e">
        <f t="shared" si="21"/>
        <v>#N/A</v>
      </c>
      <c r="L225" s="61" t="e">
        <f t="shared" si="22"/>
        <v>#N/A</v>
      </c>
      <c r="M225" s="61" t="e">
        <f t="shared" si="23"/>
        <v>#N/A</v>
      </c>
    </row>
    <row r="226" spans="1:14" s="62" customFormat="1" ht="18.75" customHeight="1" x14ac:dyDescent="0.3">
      <c r="A226" s="53">
        <v>220</v>
      </c>
      <c r="B226" s="54" t="e">
        <f>IF(Input_Data!B226="",NA(),Input_Data!B226)</f>
        <v>#N/A</v>
      </c>
      <c r="C226" s="55" t="e">
        <f>IF(Input_Data!C226="",NA(),Input_Data!C226)</f>
        <v>#N/A</v>
      </c>
      <c r="D226" s="56" t="e">
        <f>IF(Input_Data!D226="",NA(),CONVERT(Input_Data!D226,"ft","m"))</f>
        <v>#N/A</v>
      </c>
      <c r="E226" s="57" t="e">
        <f>IF(Input_Data!E226="",NA(),CONVERT(Input_Data!E226,"lbm","g")/1000)</f>
        <v>#N/A</v>
      </c>
      <c r="F226" s="58" t="e">
        <f>IF(Input_Data!F226="",NA(),CONVERT(Input_Data!F226,"in","m")*1000)</f>
        <v>#N/A</v>
      </c>
      <c r="G226" s="58" t="e">
        <f>IF(Input_Data!K226="",NA(),CONVERT(Input_Data!K226,"psi","Pa"))</f>
        <v>#N/A</v>
      </c>
      <c r="H226" s="59" t="e">
        <f t="shared" si="18"/>
        <v>#N/A</v>
      </c>
      <c r="I226" s="60" t="e">
        <f t="shared" si="19"/>
        <v>#N/A</v>
      </c>
      <c r="J226" s="59" t="e">
        <f t="shared" si="20"/>
        <v>#N/A</v>
      </c>
      <c r="K226" s="59" t="e">
        <f t="shared" si="21"/>
        <v>#N/A</v>
      </c>
      <c r="L226" s="61" t="e">
        <f t="shared" si="22"/>
        <v>#N/A</v>
      </c>
      <c r="M226" s="61" t="e">
        <f t="shared" si="23"/>
        <v>#N/A</v>
      </c>
    </row>
    <row r="227" spans="1:14" ht="18.75" customHeight="1" x14ac:dyDescent="0.3">
      <c r="B227" s="54"/>
      <c r="C227" s="65"/>
      <c r="D227" s="56"/>
      <c r="E227" s="57"/>
      <c r="F227" s="58"/>
      <c r="G227" s="58"/>
      <c r="N227" s="69"/>
    </row>
    <row r="228" spans="1:14" ht="18.75" customHeight="1" x14ac:dyDescent="0.3">
      <c r="B228" s="54"/>
      <c r="C228" s="65"/>
      <c r="D228" s="56"/>
      <c r="E228" s="57"/>
      <c r="F228" s="58"/>
      <c r="G228" s="58"/>
      <c r="N228" s="70"/>
    </row>
    <row r="229" spans="1:14" ht="18.75" customHeight="1" x14ac:dyDescent="0.3">
      <c r="B229" s="54"/>
      <c r="C229" s="65"/>
      <c r="D229" s="56"/>
      <c r="E229" s="57"/>
      <c r="F229" s="58"/>
      <c r="G229" s="58"/>
    </row>
    <row r="230" spans="1:14" ht="18.75" customHeight="1" x14ac:dyDescent="0.3">
      <c r="B230" s="54"/>
      <c r="C230" s="65"/>
      <c r="D230" s="56"/>
      <c r="E230" s="57"/>
      <c r="F230" s="58"/>
      <c r="G230" s="58"/>
    </row>
    <row r="231" spans="1:14" ht="18.75" customHeight="1" x14ac:dyDescent="0.3">
      <c r="B231" s="54"/>
      <c r="C231" s="65"/>
      <c r="D231" s="56"/>
      <c r="E231" s="57"/>
      <c r="F231" s="58"/>
      <c r="G231" s="58"/>
    </row>
    <row r="232" spans="1:14" ht="18.75" customHeight="1" x14ac:dyDescent="0.3">
      <c r="G232" s="73"/>
    </row>
    <row r="233" spans="1:14" ht="18.75" customHeight="1" x14ac:dyDescent="0.3">
      <c r="G233" s="73"/>
    </row>
    <row r="234" spans="1:14" ht="18.75" customHeight="1" x14ac:dyDescent="0.3">
      <c r="G234" s="73"/>
    </row>
    <row r="235" spans="1:14" ht="18.75" customHeight="1" x14ac:dyDescent="0.3">
      <c r="G235" s="73"/>
    </row>
    <row r="236" spans="1:14" ht="18.75" customHeight="1" x14ac:dyDescent="0.3">
      <c r="G236" s="73"/>
    </row>
    <row r="237" spans="1:14" ht="18.75" customHeight="1" x14ac:dyDescent="0.3">
      <c r="G237" s="73"/>
    </row>
    <row r="238" spans="1:14" ht="18.75" customHeight="1" x14ac:dyDescent="0.3">
      <c r="G238" s="73"/>
    </row>
    <row r="239" spans="1:14" ht="18.75" customHeight="1" x14ac:dyDescent="0.3">
      <c r="G239" s="73"/>
    </row>
    <row r="240" spans="1:14" ht="18.75" customHeight="1" x14ac:dyDescent="0.3">
      <c r="G240" s="73"/>
    </row>
    <row r="241" spans="7:7" ht="18.75" customHeight="1" x14ac:dyDescent="0.3">
      <c r="G241" s="73"/>
    </row>
    <row r="242" spans="7:7" ht="18.75" customHeight="1" x14ac:dyDescent="0.3">
      <c r="G242" s="73"/>
    </row>
    <row r="243" spans="7:7" ht="18.75" customHeight="1" x14ac:dyDescent="0.3">
      <c r="G243" s="73"/>
    </row>
    <row r="244" spans="7:7" ht="18.75" customHeight="1" x14ac:dyDescent="0.3">
      <c r="G244" s="73"/>
    </row>
    <row r="245" spans="7:7" ht="18.75" customHeight="1" x14ac:dyDescent="0.3">
      <c r="G245" s="73"/>
    </row>
    <row r="246" spans="7:7" ht="18.75" customHeight="1" x14ac:dyDescent="0.3">
      <c r="G246" s="73"/>
    </row>
    <row r="247" spans="7:7" ht="18.75" customHeight="1" x14ac:dyDescent="0.3">
      <c r="G247" s="73"/>
    </row>
    <row r="248" spans="7:7" ht="18.75" customHeight="1" x14ac:dyDescent="0.3">
      <c r="G248" s="73"/>
    </row>
    <row r="249" spans="7:7" ht="18.75" customHeight="1" x14ac:dyDescent="0.3">
      <c r="G249" s="73"/>
    </row>
    <row r="250" spans="7:7" ht="18.75" customHeight="1" x14ac:dyDescent="0.3">
      <c r="G250" s="73"/>
    </row>
    <row r="251" spans="7:7" ht="18.75" customHeight="1" x14ac:dyDescent="0.3">
      <c r="G251" s="73"/>
    </row>
    <row r="252" spans="7:7" ht="18.75" customHeight="1" x14ac:dyDescent="0.3">
      <c r="G252" s="73"/>
    </row>
    <row r="253" spans="7:7" ht="18.75" customHeight="1" x14ac:dyDescent="0.3">
      <c r="G253" s="73"/>
    </row>
    <row r="254" spans="7:7" ht="18.75" customHeight="1" x14ac:dyDescent="0.3">
      <c r="G254" s="73"/>
    </row>
    <row r="255" spans="7:7" ht="18.75" customHeight="1" x14ac:dyDescent="0.3">
      <c r="G255" s="73"/>
    </row>
    <row r="256" spans="7:7" ht="18.75" customHeight="1" x14ac:dyDescent="0.3">
      <c r="G256" s="73"/>
    </row>
    <row r="257" spans="7:7" ht="18.75" customHeight="1" x14ac:dyDescent="0.3">
      <c r="G257" s="73"/>
    </row>
    <row r="258" spans="7:7" ht="18.75" customHeight="1" x14ac:dyDescent="0.3">
      <c r="G258" s="73"/>
    </row>
    <row r="259" spans="7:7" ht="18.75" customHeight="1" x14ac:dyDescent="0.3">
      <c r="G259" s="73"/>
    </row>
    <row r="260" spans="7:7" ht="18.75" customHeight="1" x14ac:dyDescent="0.3">
      <c r="G260" s="73"/>
    </row>
    <row r="261" spans="7:7" ht="18.75" customHeight="1" x14ac:dyDescent="0.3">
      <c r="G261" s="73"/>
    </row>
    <row r="262" spans="7:7" ht="18.75" customHeight="1" x14ac:dyDescent="0.3">
      <c r="G262" s="73"/>
    </row>
    <row r="263" spans="7:7" ht="18.75" customHeight="1" x14ac:dyDescent="0.3">
      <c r="G263" s="73"/>
    </row>
    <row r="264" spans="7:7" ht="18.75" customHeight="1" x14ac:dyDescent="0.3">
      <c r="G264" s="73"/>
    </row>
    <row r="265" spans="7:7" ht="18.75" customHeight="1" x14ac:dyDescent="0.3">
      <c r="G265" s="73"/>
    </row>
    <row r="266" spans="7:7" ht="18.75" customHeight="1" x14ac:dyDescent="0.3">
      <c r="G266" s="73"/>
    </row>
    <row r="267" spans="7:7" ht="18.75" customHeight="1" x14ac:dyDescent="0.3">
      <c r="G267" s="73"/>
    </row>
    <row r="268" spans="7:7" ht="18.75" customHeight="1" x14ac:dyDescent="0.3">
      <c r="G268" s="73"/>
    </row>
    <row r="269" spans="7:7" ht="18.75" customHeight="1" x14ac:dyDescent="0.3">
      <c r="G269" s="73"/>
    </row>
    <row r="270" spans="7:7" ht="18.75" customHeight="1" x14ac:dyDescent="0.3">
      <c r="G270" s="73"/>
    </row>
    <row r="271" spans="7:7" ht="18.75" customHeight="1" x14ac:dyDescent="0.3">
      <c r="G271" s="73"/>
    </row>
    <row r="272" spans="7:7" ht="18.75" customHeight="1" x14ac:dyDescent="0.3">
      <c r="G272" s="73"/>
    </row>
    <row r="273" spans="7:7" ht="18.75" customHeight="1" x14ac:dyDescent="0.3">
      <c r="G273" s="73"/>
    </row>
    <row r="274" spans="7:7" ht="18.75" customHeight="1" x14ac:dyDescent="0.3">
      <c r="G274" s="73"/>
    </row>
    <row r="275" spans="7:7" ht="18.75" customHeight="1" x14ac:dyDescent="0.3">
      <c r="G275" s="73"/>
    </row>
    <row r="276" spans="7:7" ht="18.75" customHeight="1" x14ac:dyDescent="0.3">
      <c r="G276" s="73"/>
    </row>
    <row r="277" spans="7:7" ht="18.75" customHeight="1" x14ac:dyDescent="0.3">
      <c r="G277" s="73"/>
    </row>
    <row r="278" spans="7:7" ht="18.75" customHeight="1" x14ac:dyDescent="0.3">
      <c r="G278" s="73"/>
    </row>
    <row r="279" spans="7:7" ht="18.75" customHeight="1" x14ac:dyDescent="0.3">
      <c r="G279" s="73"/>
    </row>
    <row r="280" spans="7:7" ht="18.75" customHeight="1" x14ac:dyDescent="0.3">
      <c r="G280" s="73"/>
    </row>
    <row r="281" spans="7:7" ht="18.75" customHeight="1" x14ac:dyDescent="0.3">
      <c r="G281" s="73"/>
    </row>
    <row r="282" spans="7:7" ht="18.75" customHeight="1" x14ac:dyDescent="0.3">
      <c r="G282" s="73"/>
    </row>
    <row r="283" spans="7:7" ht="18.75" customHeight="1" x14ac:dyDescent="0.3">
      <c r="G283" s="73"/>
    </row>
    <row r="284" spans="7:7" ht="18.75" customHeight="1" x14ac:dyDescent="0.3">
      <c r="G284" s="73"/>
    </row>
    <row r="285" spans="7:7" ht="18.75" customHeight="1" x14ac:dyDescent="0.3">
      <c r="G285" s="73"/>
    </row>
    <row r="286" spans="7:7" ht="18.75" customHeight="1" x14ac:dyDescent="0.3">
      <c r="G286" s="73"/>
    </row>
    <row r="287" spans="7:7" ht="18.75" customHeight="1" x14ac:dyDescent="0.3">
      <c r="G287" s="73"/>
    </row>
    <row r="288" spans="7:7" ht="18.75" customHeight="1" x14ac:dyDescent="0.3">
      <c r="G288" s="73"/>
    </row>
    <row r="289" spans="7:7" ht="18.75" customHeight="1" x14ac:dyDescent="0.3">
      <c r="G289" s="73"/>
    </row>
    <row r="290" spans="7:7" ht="18.75" customHeight="1" x14ac:dyDescent="0.3">
      <c r="G290" s="73"/>
    </row>
    <row r="291" spans="7:7" ht="18.75" customHeight="1" x14ac:dyDescent="0.3">
      <c r="G291" s="73"/>
    </row>
    <row r="292" spans="7:7" ht="18.75" customHeight="1" x14ac:dyDescent="0.3">
      <c r="G292" s="73"/>
    </row>
    <row r="293" spans="7:7" ht="18.75" customHeight="1" x14ac:dyDescent="0.3">
      <c r="G293" s="73"/>
    </row>
    <row r="294" spans="7:7" ht="18.75" customHeight="1" x14ac:dyDescent="0.3">
      <c r="G294" s="73"/>
    </row>
    <row r="295" spans="7:7" ht="18.75" customHeight="1" x14ac:dyDescent="0.3">
      <c r="G295" s="73"/>
    </row>
    <row r="296" spans="7:7" ht="18.75" customHeight="1" x14ac:dyDescent="0.3">
      <c r="G296" s="73"/>
    </row>
    <row r="297" spans="7:7" ht="18.75" customHeight="1" x14ac:dyDescent="0.3">
      <c r="G297" s="73"/>
    </row>
    <row r="298" spans="7:7" ht="18.75" customHeight="1" x14ac:dyDescent="0.3">
      <c r="G298" s="73"/>
    </row>
    <row r="299" spans="7:7" ht="18.75" customHeight="1" x14ac:dyDescent="0.3">
      <c r="G299" s="73"/>
    </row>
    <row r="300" spans="7:7" ht="18.75" customHeight="1" x14ac:dyDescent="0.3">
      <c r="G300" s="73"/>
    </row>
    <row r="301" spans="7:7" ht="18.75" customHeight="1" x14ac:dyDescent="0.3">
      <c r="G301" s="73"/>
    </row>
    <row r="302" spans="7:7" ht="18.75" customHeight="1" x14ac:dyDescent="0.3">
      <c r="G302" s="73"/>
    </row>
    <row r="303" spans="7:7" ht="18.75" customHeight="1" x14ac:dyDescent="0.3">
      <c r="G303" s="73"/>
    </row>
    <row r="304" spans="7:7" ht="18.75" customHeight="1" x14ac:dyDescent="0.3">
      <c r="G304" s="73"/>
    </row>
    <row r="305" spans="7:7" ht="18.75" customHeight="1" x14ac:dyDescent="0.3">
      <c r="G305" s="73"/>
    </row>
    <row r="306" spans="7:7" ht="18.75" customHeight="1" x14ac:dyDescent="0.3">
      <c r="G306" s="73"/>
    </row>
    <row r="307" spans="7:7" ht="18.75" customHeight="1" x14ac:dyDescent="0.3">
      <c r="G307" s="73"/>
    </row>
    <row r="308" spans="7:7" ht="18.75" customHeight="1" x14ac:dyDescent="0.3">
      <c r="G308" s="73"/>
    </row>
    <row r="309" spans="7:7" ht="18.75" customHeight="1" x14ac:dyDescent="0.3">
      <c r="G309" s="73"/>
    </row>
    <row r="310" spans="7:7" ht="18.75" customHeight="1" x14ac:dyDescent="0.3">
      <c r="G310" s="73"/>
    </row>
    <row r="311" spans="7:7" ht="18.75" customHeight="1" x14ac:dyDescent="0.3">
      <c r="G311" s="73"/>
    </row>
    <row r="312" spans="7:7" ht="18.75" customHeight="1" x14ac:dyDescent="0.3">
      <c r="G312" s="73"/>
    </row>
    <row r="313" spans="7:7" ht="18.75" customHeight="1" x14ac:dyDescent="0.3">
      <c r="G313" s="73"/>
    </row>
    <row r="314" spans="7:7" ht="18.75" customHeight="1" x14ac:dyDescent="0.3">
      <c r="G314" s="73"/>
    </row>
    <row r="315" spans="7:7" ht="18.75" customHeight="1" x14ac:dyDescent="0.3">
      <c r="G315" s="73"/>
    </row>
    <row r="316" spans="7:7" ht="18.75" customHeight="1" x14ac:dyDescent="0.3">
      <c r="G316" s="73"/>
    </row>
  </sheetData>
  <sheetProtection algorithmName="SHA-512" hashValue="hg2Nz2iSfPSu8c0nMtKW2pb8+j53J64mZVtVyeUR2JEmo9JsANvfqqixfDRK4x3D4ZidHrIbCcvvj1gOHP803g==" saltValue="be15L1/O0E73MbO8Kmub9w==" spinCount="100000" sheet="1" objects="1" scenarios="1"/>
  <mergeCells count="11">
    <mergeCell ref="A3:G3"/>
    <mergeCell ref="H3:J3"/>
    <mergeCell ref="K3:M3"/>
    <mergeCell ref="C1:E1"/>
    <mergeCell ref="C2:E2"/>
    <mergeCell ref="G1:J1"/>
    <mergeCell ref="G2:J2"/>
    <mergeCell ref="A1:B1"/>
    <mergeCell ref="L1:M1"/>
    <mergeCell ref="A2:B2"/>
    <mergeCell ref="L2:M2"/>
  </mergeCells>
  <conditionalFormatting sqref="B7:M226">
    <cfRule type="containsErrors" dxfId="2" priority="2">
      <formula>ISERROR(B7)</formula>
    </cfRule>
  </conditionalFormatting>
  <printOptions horizontalCentered="1"/>
  <pageMargins left="0.7" right="0.7" top="0.75" bottom="0.75" header="0.3" footer="0.3"/>
  <pageSetup scale="55" orientation="landscape" r:id="rId1"/>
  <headerFooter>
    <oddHeader>&amp;C&amp;"Arial,Bold"&amp;12OSMRE Regression Analysis of Blast-Induced Vibration Data</oddHeader>
    <oddFooter>&amp;C&amp;"Arial,Regular"&amp;12Page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U291"/>
  <sheetViews>
    <sheetView view="pageBreakPreview" zoomScaleNormal="100" zoomScaleSheetLayoutView="100" workbookViewId="0">
      <selection activeCell="L1" sqref="L1"/>
    </sheetView>
  </sheetViews>
  <sheetFormatPr defaultColWidth="9.109375" defaultRowHeight="14.4" x14ac:dyDescent="0.3"/>
  <cols>
    <col min="1" max="1" width="9.109375" style="140" customWidth="1"/>
    <col min="2" max="5" width="9.109375" style="140"/>
    <col min="6" max="6" width="9.109375" style="140" customWidth="1"/>
    <col min="7" max="12" width="9.109375" style="140"/>
    <col min="13" max="13" width="51.44140625" style="139" customWidth="1"/>
    <col min="14" max="14" width="16" style="139" customWidth="1"/>
    <col min="15" max="15" width="16" style="139" bestFit="1" customWidth="1"/>
    <col min="16" max="21" width="9.109375" style="139"/>
    <col min="22" max="16384" width="9.109375" style="140"/>
  </cols>
  <sheetData>
    <row r="1" spans="1:21" s="30" customFormat="1" ht="15" customHeight="1" x14ac:dyDescent="0.25">
      <c r="A1" s="20" t="s">
        <v>56</v>
      </c>
      <c r="B1" s="21" t="str">
        <f>Input_Data!H1</f>
        <v>Pittsburgh Mine</v>
      </c>
      <c r="C1" s="22"/>
      <c r="D1" s="23"/>
      <c r="E1" s="23"/>
      <c r="F1" s="24"/>
      <c r="G1" s="25"/>
      <c r="H1" s="25" t="s">
        <v>50</v>
      </c>
      <c r="I1" s="21" t="str">
        <f>Input_Data!C1</f>
        <v>OSMRE</v>
      </c>
      <c r="J1" s="22"/>
      <c r="K1" s="23"/>
      <c r="L1" s="25"/>
      <c r="M1" s="114" t="s">
        <v>102</v>
      </c>
      <c r="N1" s="115"/>
      <c r="O1" s="92"/>
      <c r="P1" s="130"/>
      <c r="Q1" s="130"/>
      <c r="R1" s="130"/>
      <c r="S1" s="130"/>
      <c r="T1" s="130"/>
      <c r="U1" s="130"/>
    </row>
    <row r="2" spans="1:21" s="30" customFormat="1" ht="15" customHeight="1" x14ac:dyDescent="0.25">
      <c r="A2" s="20" t="s">
        <v>66</v>
      </c>
      <c r="B2" s="26" t="str">
        <f>Input_Data!H2</f>
        <v>D-12345</v>
      </c>
      <c r="C2" s="27"/>
      <c r="D2" s="27"/>
      <c r="E2" s="27"/>
      <c r="F2" s="26"/>
      <c r="G2" s="25"/>
      <c r="H2" s="25" t="s">
        <v>52</v>
      </c>
      <c r="I2" s="28">
        <f>Input_Data!M1</f>
        <v>43466</v>
      </c>
      <c r="J2" s="29"/>
      <c r="K2" s="27"/>
      <c r="L2" s="131"/>
      <c r="M2" s="93" t="s">
        <v>81</v>
      </c>
      <c r="N2" s="12">
        <f ca="1">ROUNDDOWN(MIN(Metric_SD2),0)</f>
        <v>1</v>
      </c>
      <c r="O2" s="94"/>
      <c r="P2" s="130"/>
      <c r="Q2" s="130"/>
      <c r="R2" s="130"/>
      <c r="S2" s="130"/>
      <c r="T2" s="130"/>
      <c r="U2" s="130"/>
    </row>
    <row r="3" spans="1:21" s="30" customFormat="1" ht="15" customHeight="1" x14ac:dyDescent="0.25">
      <c r="A3" s="30" t="s">
        <v>51</v>
      </c>
      <c r="B3" s="31" t="str">
        <f>Input_Data!C2</f>
        <v>Top Flight Blasting</v>
      </c>
      <c r="C3" s="29"/>
      <c r="D3" s="29"/>
      <c r="E3" s="29"/>
      <c r="F3" s="29"/>
      <c r="H3" s="32" t="s">
        <v>67</v>
      </c>
      <c r="I3" s="31" t="str">
        <f>Input_Data!M2</f>
        <v>Brian Farmer, P.E.</v>
      </c>
      <c r="J3" s="29"/>
      <c r="K3" s="29"/>
      <c r="L3" s="132"/>
      <c r="M3" s="95" t="s">
        <v>82</v>
      </c>
      <c r="N3" s="12">
        <f ca="1">ROUNDUP(MAX(Metric_SD2),-2)</f>
        <v>100</v>
      </c>
      <c r="O3" s="94"/>
      <c r="P3" s="130"/>
      <c r="Q3" s="130"/>
      <c r="R3" s="130"/>
      <c r="S3" s="130"/>
      <c r="T3" s="130"/>
      <c r="U3" s="130"/>
    </row>
    <row r="4" spans="1:21" s="134" customFormat="1" ht="15" customHeight="1" x14ac:dyDescent="0.25">
      <c r="A4" s="133"/>
      <c r="B4" s="133"/>
      <c r="L4" s="135"/>
      <c r="M4" s="96" t="s">
        <v>118</v>
      </c>
      <c r="N4" s="13">
        <f ca="1">10^(STEYX(Metric_Log_PPV,Metric_Log_SD2))</f>
        <v>1.7399685650127363</v>
      </c>
      <c r="O4" s="97"/>
      <c r="P4" s="136"/>
      <c r="Q4" s="100"/>
      <c r="R4" s="100"/>
      <c r="S4" s="100"/>
      <c r="T4" s="100"/>
      <c r="U4" s="100"/>
    </row>
    <row r="5" spans="1:21" s="134" customFormat="1" ht="15" customHeight="1" x14ac:dyDescent="0.25">
      <c r="J5" s="137"/>
      <c r="L5" s="135"/>
      <c r="M5" s="98" t="s">
        <v>73</v>
      </c>
      <c r="N5" s="13">
        <f ca="1">(Ground_Vibration_Metric!E43*N4)*N4</f>
        <v>1140.7334061720528</v>
      </c>
      <c r="O5" s="97"/>
      <c r="P5" s="136"/>
      <c r="Q5" s="100"/>
      <c r="R5" s="100"/>
      <c r="S5" s="100"/>
      <c r="T5" s="100"/>
      <c r="U5" s="100"/>
    </row>
    <row r="6" spans="1:21" s="134" customFormat="1" ht="15" customHeight="1" x14ac:dyDescent="0.25">
      <c r="M6" s="98" t="s">
        <v>83</v>
      </c>
      <c r="N6" s="13">
        <f ca="1">N5*(N2^Ground_Vibration_Metric!E45)</f>
        <v>1140.7334061720528</v>
      </c>
      <c r="O6" s="97"/>
      <c r="P6" s="136"/>
      <c r="Q6" s="100"/>
      <c r="R6" s="100"/>
      <c r="S6" s="100"/>
      <c r="T6" s="100"/>
      <c r="U6" s="100"/>
    </row>
    <row r="7" spans="1:21" s="134" customFormat="1" ht="15" customHeight="1" x14ac:dyDescent="0.25">
      <c r="M7" s="99" t="s">
        <v>84</v>
      </c>
      <c r="N7" s="14">
        <f ca="1">N5*(N3^Ground_Vibration_Metric!E45)</f>
        <v>5.4835390307410155</v>
      </c>
      <c r="O7" s="116"/>
      <c r="P7" s="136"/>
      <c r="Q7" s="100"/>
      <c r="R7" s="100"/>
      <c r="S7" s="100"/>
      <c r="T7" s="100"/>
      <c r="U7" s="100"/>
    </row>
    <row r="8" spans="1:21" s="134" customFormat="1" ht="15" customHeight="1" x14ac:dyDescent="0.25">
      <c r="M8" s="166"/>
      <c r="N8" s="116"/>
      <c r="O8" s="116"/>
      <c r="P8" s="136"/>
      <c r="Q8" s="100"/>
      <c r="R8" s="100"/>
      <c r="S8" s="100"/>
      <c r="T8" s="100"/>
      <c r="U8" s="100"/>
    </row>
    <row r="9" spans="1:21" ht="15" customHeight="1" x14ac:dyDescent="0.3">
      <c r="A9" s="134"/>
      <c r="B9" s="134"/>
      <c r="C9" s="134"/>
      <c r="D9" s="134"/>
      <c r="E9" s="134"/>
      <c r="F9" s="134"/>
      <c r="G9" s="134"/>
      <c r="H9" s="134"/>
      <c r="I9" s="134"/>
      <c r="J9" s="134"/>
      <c r="K9" s="134"/>
      <c r="L9" s="134"/>
      <c r="M9" s="117" t="s">
        <v>114</v>
      </c>
      <c r="N9" s="118" t="s">
        <v>68</v>
      </c>
      <c r="O9" s="119" t="s">
        <v>69</v>
      </c>
    </row>
    <row r="10" spans="1:21" ht="15" customHeight="1" x14ac:dyDescent="0.3">
      <c r="A10" s="134"/>
      <c r="B10" s="134"/>
      <c r="C10" s="134"/>
      <c r="D10" s="134"/>
      <c r="E10" s="134"/>
      <c r="F10" s="134"/>
      <c r="G10" s="134"/>
      <c r="H10" s="134"/>
      <c r="I10" s="134"/>
      <c r="J10" s="134"/>
      <c r="K10" s="134"/>
      <c r="L10" s="134"/>
      <c r="M10" s="96" t="s">
        <v>95</v>
      </c>
      <c r="N10" s="15">
        <f ca="1">905*(N2^-1.52)</f>
        <v>905</v>
      </c>
      <c r="O10" s="17">
        <f ca="1">905*(N3^-1.52)</f>
        <v>0.82536980961709738</v>
      </c>
    </row>
    <row r="11" spans="1:21" ht="15" customHeight="1" x14ac:dyDescent="0.3">
      <c r="A11" s="134"/>
      <c r="B11" s="134"/>
      <c r="C11" s="134"/>
      <c r="D11" s="134"/>
      <c r="E11" s="134"/>
      <c r="F11" s="134"/>
      <c r="G11" s="134"/>
      <c r="H11" s="134"/>
      <c r="I11" s="134"/>
      <c r="J11" s="134"/>
      <c r="K11" s="134"/>
      <c r="L11" s="134"/>
      <c r="M11" s="101" t="s">
        <v>96</v>
      </c>
      <c r="N11" s="16">
        <f ca="1">3330*(N2^-1.52)</f>
        <v>3330</v>
      </c>
      <c r="O11" s="18">
        <f ca="1">3330*(N3^-1.52)</f>
        <v>3.036996095055176</v>
      </c>
    </row>
    <row r="12" spans="1:21" ht="15" customHeight="1" x14ac:dyDescent="0.3">
      <c r="A12" s="134"/>
      <c r="B12" s="134"/>
      <c r="C12" s="134"/>
      <c r="D12" s="134"/>
      <c r="E12" s="134"/>
      <c r="F12" s="134"/>
      <c r="G12" s="134"/>
      <c r="H12" s="134"/>
      <c r="I12" s="134"/>
      <c r="J12" s="134"/>
      <c r="K12" s="134"/>
      <c r="L12" s="134"/>
      <c r="M12" s="212" t="s">
        <v>120</v>
      </c>
      <c r="N12" s="213"/>
      <c r="O12" s="214"/>
      <c r="P12" s="130"/>
      <c r="Q12" s="130"/>
      <c r="R12" s="130"/>
    </row>
    <row r="13" spans="1:21" ht="15" customHeight="1" x14ac:dyDescent="0.3">
      <c r="A13" s="134"/>
      <c r="B13" s="134"/>
      <c r="C13" s="134"/>
      <c r="D13" s="134"/>
      <c r="E13" s="134"/>
      <c r="F13" s="134"/>
      <c r="G13" s="134"/>
      <c r="H13" s="134"/>
      <c r="I13" s="134"/>
      <c r="J13" s="134"/>
      <c r="K13" s="134"/>
      <c r="L13" s="134"/>
      <c r="M13" s="257"/>
      <c r="N13" s="258"/>
      <c r="O13" s="259"/>
      <c r="P13" s="130"/>
      <c r="Q13" s="130"/>
      <c r="R13" s="130"/>
      <c r="S13" s="130"/>
      <c r="T13" s="130"/>
    </row>
    <row r="14" spans="1:21" ht="15" customHeight="1" x14ac:dyDescent="0.3">
      <c r="A14" s="134"/>
      <c r="B14" s="134"/>
      <c r="C14" s="134"/>
      <c r="D14" s="134"/>
      <c r="E14" s="134"/>
      <c r="F14" s="134"/>
      <c r="G14" s="134"/>
      <c r="H14" s="134"/>
      <c r="I14" s="134"/>
      <c r="J14" s="134"/>
      <c r="K14" s="134"/>
      <c r="L14" s="134"/>
      <c r="M14" s="257"/>
      <c r="N14" s="258"/>
      <c r="O14" s="259"/>
      <c r="P14" s="141"/>
    </row>
    <row r="15" spans="1:21" ht="15" customHeight="1" x14ac:dyDescent="0.3">
      <c r="A15" s="134"/>
      <c r="B15" s="134"/>
      <c r="C15" s="134"/>
      <c r="D15" s="134"/>
      <c r="E15" s="134"/>
      <c r="F15" s="134"/>
      <c r="G15" s="134"/>
      <c r="H15" s="134"/>
      <c r="I15" s="134"/>
      <c r="J15" s="134"/>
      <c r="K15" s="134"/>
      <c r="L15" s="134"/>
      <c r="M15" s="260"/>
      <c r="N15" s="261"/>
      <c r="O15" s="262"/>
      <c r="P15" s="141"/>
    </row>
    <row r="16" spans="1:21" ht="15" customHeight="1" x14ac:dyDescent="0.3">
      <c r="A16" s="134"/>
      <c r="B16" s="134"/>
      <c r="C16" s="134"/>
      <c r="D16" s="134"/>
      <c r="E16" s="134"/>
      <c r="F16" s="134"/>
      <c r="G16" s="134"/>
      <c r="H16" s="134"/>
      <c r="I16" s="134"/>
      <c r="J16" s="134"/>
      <c r="K16" s="134"/>
      <c r="L16" s="134"/>
      <c r="O16" s="141"/>
      <c r="P16" s="141"/>
    </row>
    <row r="17" spans="1:16" ht="15" customHeight="1" x14ac:dyDescent="0.3">
      <c r="A17" s="134"/>
      <c r="B17" s="134"/>
      <c r="C17" s="134"/>
      <c r="D17" s="134"/>
      <c r="E17" s="134"/>
      <c r="F17" s="134"/>
      <c r="G17" s="134"/>
      <c r="H17" s="134"/>
      <c r="I17" s="134"/>
      <c r="J17" s="134"/>
      <c r="K17" s="134"/>
      <c r="L17" s="134"/>
      <c r="O17" s="141"/>
      <c r="P17" s="141"/>
    </row>
    <row r="18" spans="1:16" ht="15" customHeight="1" x14ac:dyDescent="0.3">
      <c r="A18" s="134"/>
      <c r="B18" s="134"/>
      <c r="C18" s="134"/>
      <c r="D18" s="134"/>
      <c r="E18" s="134"/>
      <c r="F18" s="134"/>
      <c r="G18" s="134"/>
      <c r="H18" s="134"/>
      <c r="I18" s="134"/>
      <c r="J18" s="134"/>
      <c r="K18" s="134"/>
      <c r="L18" s="134"/>
      <c r="O18" s="141"/>
      <c r="P18" s="141"/>
    </row>
    <row r="19" spans="1:16" ht="15" customHeight="1" x14ac:dyDescent="0.3">
      <c r="A19" s="134"/>
      <c r="B19" s="134"/>
      <c r="C19" s="134"/>
      <c r="D19" s="134"/>
      <c r="E19" s="134"/>
      <c r="F19" s="134"/>
      <c r="G19" s="134"/>
      <c r="H19" s="134"/>
      <c r="I19" s="134"/>
      <c r="J19" s="134"/>
      <c r="K19" s="134"/>
      <c r="L19" s="134"/>
      <c r="O19" s="141"/>
      <c r="P19" s="141"/>
    </row>
    <row r="20" spans="1:16" ht="15" customHeight="1" x14ac:dyDescent="0.3">
      <c r="A20" s="134"/>
      <c r="B20" s="134"/>
      <c r="C20" s="134"/>
      <c r="D20" s="134"/>
      <c r="E20" s="134"/>
      <c r="F20" s="134"/>
      <c r="G20" s="134"/>
      <c r="H20" s="134"/>
      <c r="I20" s="134"/>
      <c r="J20" s="134"/>
      <c r="K20" s="134"/>
      <c r="L20" s="134"/>
      <c r="O20" s="141"/>
      <c r="P20" s="141"/>
    </row>
    <row r="21" spans="1:16" ht="15" customHeight="1" x14ac:dyDescent="0.3">
      <c r="A21" s="134"/>
      <c r="B21" s="134"/>
      <c r="C21" s="134"/>
      <c r="D21" s="134"/>
      <c r="E21" s="134"/>
      <c r="F21" s="134"/>
      <c r="G21" s="134"/>
      <c r="H21" s="134"/>
      <c r="I21" s="134"/>
      <c r="J21" s="134"/>
      <c r="K21" s="134"/>
      <c r="L21" s="134"/>
      <c r="O21" s="141"/>
      <c r="P21" s="141"/>
    </row>
    <row r="22" spans="1:16" ht="15" customHeight="1" x14ac:dyDescent="0.3">
      <c r="A22" s="134"/>
      <c r="B22" s="134"/>
      <c r="C22" s="134"/>
      <c r="D22" s="134"/>
      <c r="E22" s="134"/>
      <c r="F22" s="134"/>
      <c r="G22" s="134"/>
      <c r="H22" s="134"/>
      <c r="I22" s="134"/>
      <c r="J22" s="134"/>
      <c r="K22" s="134"/>
      <c r="L22" s="134"/>
      <c r="O22" s="141"/>
      <c r="P22" s="141"/>
    </row>
    <row r="23" spans="1:16" ht="15" customHeight="1" x14ac:dyDescent="0.3">
      <c r="A23" s="134"/>
      <c r="B23" s="134"/>
      <c r="C23" s="134"/>
      <c r="D23" s="134"/>
      <c r="E23" s="134"/>
      <c r="F23" s="134"/>
      <c r="G23" s="134"/>
      <c r="H23" s="134"/>
      <c r="I23" s="134"/>
      <c r="J23" s="134"/>
      <c r="K23" s="134"/>
      <c r="L23" s="134"/>
      <c r="O23" s="141"/>
      <c r="P23" s="141"/>
    </row>
    <row r="24" spans="1:16" ht="15" customHeight="1" x14ac:dyDescent="0.3">
      <c r="A24" s="134"/>
      <c r="B24" s="134"/>
      <c r="C24" s="134"/>
      <c r="D24" s="134"/>
      <c r="E24" s="134"/>
      <c r="F24" s="134"/>
      <c r="G24" s="134"/>
      <c r="H24" s="134"/>
      <c r="I24" s="134"/>
      <c r="J24" s="134"/>
      <c r="K24" s="134"/>
      <c r="L24" s="134"/>
      <c r="O24" s="141"/>
      <c r="P24" s="141"/>
    </row>
    <row r="25" spans="1:16" ht="15" customHeight="1" x14ac:dyDescent="0.3">
      <c r="A25" s="134"/>
      <c r="B25" s="134"/>
      <c r="C25" s="134"/>
      <c r="D25" s="134"/>
      <c r="E25" s="134"/>
      <c r="F25" s="134"/>
      <c r="G25" s="134"/>
      <c r="H25" s="134"/>
      <c r="I25" s="134"/>
      <c r="J25" s="134"/>
      <c r="K25" s="134"/>
      <c r="L25" s="134"/>
      <c r="O25" s="141"/>
      <c r="P25" s="141"/>
    </row>
    <row r="26" spans="1:16" ht="15" customHeight="1" x14ac:dyDescent="0.3">
      <c r="A26" s="134"/>
      <c r="B26" s="134"/>
      <c r="C26" s="134"/>
      <c r="D26" s="134"/>
      <c r="E26" s="134"/>
      <c r="F26" s="134"/>
      <c r="G26" s="134"/>
      <c r="H26" s="134"/>
      <c r="I26" s="134"/>
      <c r="J26" s="134"/>
      <c r="K26" s="134"/>
      <c r="L26" s="134"/>
      <c r="O26" s="141"/>
      <c r="P26" s="141"/>
    </row>
    <row r="27" spans="1:16" x14ac:dyDescent="0.3">
      <c r="A27" s="134"/>
      <c r="B27" s="134"/>
      <c r="C27" s="134"/>
      <c r="D27" s="134"/>
      <c r="E27" s="134"/>
      <c r="F27" s="134"/>
      <c r="G27" s="134"/>
      <c r="H27" s="134"/>
      <c r="I27" s="134"/>
      <c r="J27" s="134"/>
      <c r="K27" s="134"/>
      <c r="L27" s="134"/>
      <c r="O27" s="141"/>
      <c r="P27" s="141"/>
    </row>
    <row r="28" spans="1:16" x14ac:dyDescent="0.3">
      <c r="A28" s="134"/>
      <c r="B28" s="134"/>
      <c r="C28" s="134"/>
      <c r="D28" s="134"/>
      <c r="E28" s="134"/>
      <c r="F28" s="134"/>
      <c r="G28" s="134"/>
      <c r="H28" s="134"/>
      <c r="I28" s="134"/>
      <c r="J28" s="134"/>
      <c r="K28" s="134"/>
      <c r="L28" s="134"/>
      <c r="O28" s="141"/>
      <c r="P28" s="141"/>
    </row>
    <row r="29" spans="1:16" x14ac:dyDescent="0.3">
      <c r="A29" s="134"/>
      <c r="B29" s="134"/>
      <c r="C29" s="134"/>
      <c r="D29" s="134"/>
      <c r="E29" s="134"/>
      <c r="F29" s="134"/>
      <c r="G29" s="134"/>
      <c r="H29" s="134"/>
      <c r="I29" s="134"/>
      <c r="J29" s="134"/>
      <c r="K29" s="134"/>
      <c r="L29" s="134"/>
      <c r="O29" s="141"/>
      <c r="P29" s="141"/>
    </row>
    <row r="30" spans="1:16" x14ac:dyDescent="0.3">
      <c r="A30" s="134"/>
      <c r="B30" s="134"/>
      <c r="C30" s="134"/>
      <c r="D30" s="134"/>
      <c r="E30" s="134"/>
      <c r="F30" s="134"/>
      <c r="G30" s="134"/>
      <c r="H30" s="134"/>
      <c r="I30" s="134"/>
      <c r="J30" s="134"/>
      <c r="K30" s="134"/>
      <c r="L30" s="134"/>
      <c r="O30" s="141"/>
      <c r="P30" s="141"/>
    </row>
    <row r="31" spans="1:16" x14ac:dyDescent="0.3">
      <c r="A31" s="134"/>
      <c r="B31" s="134"/>
      <c r="C31" s="134"/>
      <c r="D31" s="134"/>
      <c r="E31" s="134"/>
      <c r="F31" s="134"/>
      <c r="G31" s="134"/>
      <c r="H31" s="134"/>
      <c r="I31" s="134"/>
      <c r="J31" s="134"/>
      <c r="K31" s="134"/>
      <c r="L31" s="134"/>
      <c r="O31" s="141"/>
      <c r="P31" s="141"/>
    </row>
    <row r="32" spans="1:16" x14ac:dyDescent="0.3">
      <c r="A32" s="134"/>
      <c r="B32" s="134"/>
      <c r="C32" s="134"/>
      <c r="D32" s="134"/>
      <c r="E32" s="134"/>
      <c r="F32" s="134"/>
      <c r="G32" s="134"/>
      <c r="H32" s="134"/>
      <c r="I32" s="134"/>
      <c r="J32" s="134"/>
      <c r="K32" s="134"/>
      <c r="L32" s="134"/>
      <c r="O32" s="141"/>
      <c r="P32" s="141"/>
    </row>
    <row r="33" spans="1:16" x14ac:dyDescent="0.3">
      <c r="A33" s="134"/>
      <c r="B33" s="134"/>
      <c r="C33" s="134"/>
      <c r="D33" s="134"/>
      <c r="E33" s="134"/>
      <c r="F33" s="134"/>
      <c r="G33" s="134"/>
      <c r="H33" s="134"/>
      <c r="I33" s="134"/>
      <c r="J33" s="134"/>
      <c r="K33" s="134"/>
      <c r="L33" s="134"/>
      <c r="O33" s="141"/>
      <c r="P33" s="141"/>
    </row>
    <row r="34" spans="1:16" x14ac:dyDescent="0.3">
      <c r="A34" s="134"/>
      <c r="B34" s="134"/>
      <c r="C34" s="134"/>
      <c r="D34" s="134"/>
      <c r="E34" s="134"/>
      <c r="F34" s="134"/>
      <c r="G34" s="134"/>
      <c r="H34" s="134"/>
      <c r="I34" s="134"/>
      <c r="J34" s="134"/>
      <c r="K34" s="134"/>
      <c r="L34" s="134"/>
      <c r="O34" s="141"/>
      <c r="P34" s="141"/>
    </row>
    <row r="35" spans="1:16" x14ac:dyDescent="0.3">
      <c r="A35" s="134"/>
      <c r="B35" s="134"/>
      <c r="C35" s="134"/>
      <c r="D35" s="134"/>
      <c r="E35" s="134"/>
      <c r="F35" s="134"/>
      <c r="G35" s="134"/>
      <c r="H35" s="134"/>
      <c r="I35" s="134"/>
      <c r="J35" s="134"/>
      <c r="K35" s="134"/>
      <c r="L35" s="134"/>
      <c r="O35" s="141"/>
      <c r="P35" s="141"/>
    </row>
    <row r="36" spans="1:16" x14ac:dyDescent="0.3">
      <c r="A36" s="134"/>
      <c r="B36" s="134"/>
      <c r="C36" s="134"/>
      <c r="D36" s="134"/>
      <c r="E36" s="134"/>
      <c r="F36" s="134"/>
      <c r="G36" s="134"/>
      <c r="H36" s="134"/>
      <c r="I36" s="134"/>
      <c r="J36" s="134"/>
      <c r="K36" s="134"/>
      <c r="L36" s="134"/>
      <c r="O36" s="141"/>
      <c r="P36" s="141"/>
    </row>
    <row r="37" spans="1:16" x14ac:dyDescent="0.3">
      <c r="A37" s="134"/>
      <c r="B37" s="134"/>
      <c r="C37" s="134"/>
      <c r="D37" s="134"/>
      <c r="E37" s="134"/>
      <c r="F37" s="134"/>
      <c r="G37" s="134"/>
      <c r="H37" s="134"/>
      <c r="I37" s="134"/>
      <c r="J37" s="134"/>
      <c r="K37" s="134"/>
      <c r="L37" s="134"/>
      <c r="O37" s="141"/>
      <c r="P37" s="141"/>
    </row>
    <row r="38" spans="1:16" x14ac:dyDescent="0.3">
      <c r="A38" s="134"/>
      <c r="B38" s="134"/>
      <c r="C38" s="134"/>
      <c r="D38" s="134"/>
      <c r="E38" s="134"/>
      <c r="F38" s="134"/>
      <c r="G38" s="134"/>
      <c r="H38" s="134"/>
      <c r="I38" s="134"/>
      <c r="J38" s="134"/>
      <c r="K38" s="134"/>
      <c r="L38" s="134"/>
      <c r="O38" s="141"/>
      <c r="P38" s="141"/>
    </row>
    <row r="39" spans="1:16" x14ac:dyDescent="0.3">
      <c r="A39" s="134"/>
      <c r="B39" s="134"/>
      <c r="C39" s="134"/>
      <c r="D39" s="134"/>
      <c r="E39" s="134"/>
      <c r="F39" s="134"/>
      <c r="G39" s="134"/>
      <c r="H39" s="134"/>
      <c r="I39" s="134"/>
      <c r="J39" s="134"/>
      <c r="K39" s="134"/>
      <c r="L39" s="134"/>
      <c r="O39" s="141"/>
      <c r="P39" s="141"/>
    </row>
    <row r="40" spans="1:16" s="139" customFormat="1" ht="20.100000000000001" customHeight="1" x14ac:dyDescent="0.3">
      <c r="A40" s="1" t="str">
        <f ca="1">"The blast event data was collected intermittently between the following dates:  "&amp;TEXT(MIN(Date),"mm/dd/yy")&amp;" and "&amp;TEXT(MAX(Date),"mm/dd/yy")&amp;"."</f>
        <v>The blast event data was collected intermittently between the following dates:  07/27/00 and 08/29/01.</v>
      </c>
      <c r="B40" s="102"/>
      <c r="C40" s="102"/>
      <c r="D40" s="102"/>
      <c r="E40" s="102"/>
      <c r="F40" s="102"/>
      <c r="G40" s="102"/>
      <c r="H40" s="1"/>
      <c r="I40" s="102"/>
      <c r="J40" s="1"/>
      <c r="K40" s="102"/>
      <c r="L40" s="100"/>
      <c r="O40" s="141"/>
      <c r="P40" s="141"/>
    </row>
    <row r="41" spans="1:16" s="139" customFormat="1" ht="20.100000000000001" customHeight="1" x14ac:dyDescent="0.3">
      <c r="A41" s="102"/>
      <c r="B41" s="102"/>
      <c r="C41" s="102"/>
      <c r="D41" s="102"/>
      <c r="E41" s="102"/>
      <c r="F41" s="102"/>
      <c r="G41" s="103"/>
      <c r="H41" s="103"/>
      <c r="I41" s="104"/>
      <c r="J41" s="102"/>
      <c r="K41" s="102"/>
      <c r="L41" s="100"/>
      <c r="P41" s="141"/>
    </row>
    <row r="42" spans="1:16" s="139" customFormat="1" ht="20.100000000000001" customHeight="1" x14ac:dyDescent="0.3">
      <c r="A42" s="233" t="s">
        <v>123</v>
      </c>
      <c r="B42" s="241"/>
      <c r="C42" s="241"/>
      <c r="D42" s="241"/>
      <c r="E42" s="241"/>
      <c r="F42" s="241"/>
      <c r="G42" s="241"/>
      <c r="H42" s="241"/>
      <c r="I42" s="241"/>
      <c r="J42" s="241"/>
      <c r="K42" s="242"/>
      <c r="L42" s="100"/>
      <c r="P42" s="141"/>
    </row>
    <row r="43" spans="1:16" s="139" customFormat="1" ht="20.100000000000001" customHeight="1" x14ac:dyDescent="0.3">
      <c r="A43" s="263" t="s">
        <v>130</v>
      </c>
      <c r="B43" s="264"/>
      <c r="C43" s="264"/>
      <c r="D43" s="105" t="s">
        <v>124</v>
      </c>
      <c r="E43" s="113">
        <f ca="1">EXP(INDEX(LINEST(LN(Metric_PPV),LN(Metric_SD2),,),1,2))</f>
        <v>376.79172429037891</v>
      </c>
      <c r="F43" s="236" t="s">
        <v>125</v>
      </c>
      <c r="G43" s="237"/>
      <c r="H43" s="237"/>
      <c r="I43" s="237"/>
      <c r="J43" s="237"/>
      <c r="K43" s="238"/>
      <c r="L43" s="100"/>
      <c r="O43" s="141"/>
      <c r="P43" s="141"/>
    </row>
    <row r="44" spans="1:16" s="139" customFormat="1" ht="20.100000000000001" customHeight="1" x14ac:dyDescent="0.3">
      <c r="A44" s="263"/>
      <c r="B44" s="264"/>
      <c r="C44" s="264"/>
      <c r="D44" s="105" t="s">
        <v>121</v>
      </c>
      <c r="E44" s="113">
        <f ca="1">Ground_Vibration_Metric!N5</f>
        <v>1140.7334061720528</v>
      </c>
      <c r="F44" s="236" t="s">
        <v>126</v>
      </c>
      <c r="G44" s="237"/>
      <c r="H44" s="237"/>
      <c r="I44" s="237"/>
      <c r="J44" s="237"/>
      <c r="K44" s="238"/>
      <c r="L44" s="150"/>
      <c r="O44" s="141"/>
      <c r="P44" s="141"/>
    </row>
    <row r="45" spans="1:16" s="139" customFormat="1" ht="20.100000000000001" customHeight="1" x14ac:dyDescent="0.3">
      <c r="A45" s="263"/>
      <c r="B45" s="264"/>
      <c r="C45" s="264"/>
      <c r="D45" s="105" t="s">
        <v>122</v>
      </c>
      <c r="E45" s="113">
        <f ca="1">INDEX(LINEST(LN(Metric_PPV),LN(Metric_SD2),,),1)</f>
        <v>-1.1590616104651779</v>
      </c>
      <c r="F45" s="236" t="s">
        <v>127</v>
      </c>
      <c r="G45" s="237"/>
      <c r="H45" s="237"/>
      <c r="I45" s="237"/>
      <c r="J45" s="237"/>
      <c r="K45" s="238"/>
      <c r="L45" s="150"/>
      <c r="O45" s="141"/>
      <c r="P45" s="141"/>
    </row>
    <row r="46" spans="1:16" x14ac:dyDescent="0.3">
      <c r="D46" s="142"/>
      <c r="E46" s="142"/>
      <c r="F46" s="142"/>
      <c r="G46" s="142"/>
      <c r="H46" s="142"/>
      <c r="I46" s="142"/>
      <c r="J46" s="142"/>
      <c r="K46" s="142"/>
      <c r="L46" s="137"/>
      <c r="O46" s="141"/>
      <c r="P46" s="141"/>
    </row>
    <row r="47" spans="1:16" x14ac:dyDescent="0.3">
      <c r="A47" s="142"/>
      <c r="B47" s="142"/>
      <c r="C47" s="142"/>
      <c r="D47" s="142"/>
      <c r="E47" s="142"/>
      <c r="F47" s="142"/>
      <c r="G47" s="142"/>
      <c r="H47" s="142"/>
      <c r="I47" s="142"/>
      <c r="J47" s="142"/>
      <c r="K47" s="142"/>
      <c r="L47" s="137"/>
      <c r="O47" s="141"/>
      <c r="P47" s="141"/>
    </row>
    <row r="48" spans="1:16" x14ac:dyDescent="0.3">
      <c r="A48" s="143"/>
      <c r="B48" s="143"/>
      <c r="C48" s="143"/>
      <c r="D48" s="143"/>
      <c r="E48" s="143"/>
      <c r="F48" s="143"/>
      <c r="G48" s="143"/>
      <c r="H48" s="143"/>
      <c r="I48" s="143"/>
      <c r="J48" s="143"/>
      <c r="K48" s="143"/>
      <c r="L48" s="143"/>
      <c r="O48" s="141"/>
      <c r="P48" s="141"/>
    </row>
    <row r="49" spans="1:16" x14ac:dyDescent="0.3">
      <c r="A49" s="143"/>
      <c r="B49" s="143"/>
      <c r="C49" s="143"/>
      <c r="D49" s="143"/>
      <c r="E49" s="143"/>
      <c r="F49" s="143"/>
      <c r="G49" s="143"/>
      <c r="H49" s="143"/>
      <c r="I49" s="143"/>
      <c r="J49" s="143"/>
      <c r="K49" s="143"/>
      <c r="L49" s="143"/>
      <c r="O49" s="141"/>
      <c r="P49" s="141"/>
    </row>
    <row r="50" spans="1:16" x14ac:dyDescent="0.3">
      <c r="B50" s="102"/>
      <c r="C50" s="102"/>
      <c r="D50" s="102"/>
      <c r="E50" s="102"/>
      <c r="F50" s="102"/>
      <c r="G50" s="102"/>
      <c r="H50" s="102"/>
      <c r="I50" s="102"/>
      <c r="J50" s="102"/>
      <c r="K50" s="102"/>
      <c r="L50" s="143"/>
      <c r="O50" s="141"/>
      <c r="P50" s="141"/>
    </row>
    <row r="51" spans="1:16" x14ac:dyDescent="0.3">
      <c r="B51" s="103"/>
      <c r="C51" s="134"/>
      <c r="D51" s="103"/>
      <c r="E51" s="103"/>
      <c r="F51" s="151"/>
      <c r="G51" s="102"/>
      <c r="H51" s="134"/>
      <c r="K51" s="102"/>
      <c r="L51" s="143"/>
      <c r="O51" s="141"/>
      <c r="P51" s="141"/>
    </row>
    <row r="52" spans="1:16" x14ac:dyDescent="0.3">
      <c r="B52" s="152"/>
      <c r="D52" s="103"/>
      <c r="E52" s="102"/>
      <c r="F52" s="102"/>
      <c r="G52" s="102"/>
      <c r="H52" s="134"/>
      <c r="K52" s="103"/>
      <c r="L52" s="143"/>
      <c r="O52" s="141"/>
      <c r="P52" s="141"/>
    </row>
    <row r="53" spans="1:16" x14ac:dyDescent="0.3">
      <c r="D53" s="102"/>
      <c r="E53" s="102"/>
      <c r="F53" s="102"/>
      <c r="G53" s="103"/>
      <c r="H53" s="103"/>
      <c r="I53" s="103"/>
      <c r="J53" s="103"/>
      <c r="K53" s="103"/>
      <c r="L53" s="143"/>
      <c r="O53" s="141"/>
      <c r="P53" s="141"/>
    </row>
    <row r="54" spans="1:16" x14ac:dyDescent="0.3">
      <c r="B54" s="152"/>
      <c r="D54" s="142"/>
      <c r="E54" s="142"/>
      <c r="F54" s="142"/>
      <c r="G54" s="142"/>
      <c r="H54" s="142"/>
      <c r="I54" s="142"/>
      <c r="J54" s="142"/>
      <c r="K54" s="142"/>
      <c r="L54" s="143"/>
      <c r="O54" s="141"/>
      <c r="P54" s="141"/>
    </row>
    <row r="55" spans="1:16" x14ac:dyDescent="0.3">
      <c r="A55" s="143"/>
      <c r="B55" s="143"/>
      <c r="C55" s="143"/>
      <c r="D55" s="143"/>
      <c r="E55" s="143"/>
      <c r="F55" s="143"/>
      <c r="G55" s="143"/>
      <c r="H55" s="143"/>
      <c r="I55" s="143"/>
      <c r="J55" s="143"/>
      <c r="K55" s="143"/>
      <c r="L55" s="143"/>
      <c r="O55" s="141"/>
      <c r="P55" s="141"/>
    </row>
    <row r="56" spans="1:16" x14ac:dyDescent="0.3">
      <c r="O56" s="141"/>
      <c r="P56" s="141"/>
    </row>
    <row r="57" spans="1:16" x14ac:dyDescent="0.3">
      <c r="O57" s="141"/>
      <c r="P57" s="141"/>
    </row>
    <row r="58" spans="1:16" x14ac:dyDescent="0.3">
      <c r="O58" s="141"/>
      <c r="P58" s="141"/>
    </row>
    <row r="59" spans="1:16" x14ac:dyDescent="0.3">
      <c r="O59" s="141"/>
      <c r="P59" s="141"/>
    </row>
    <row r="60" spans="1:16" x14ac:dyDescent="0.3">
      <c r="O60" s="141"/>
      <c r="P60" s="141"/>
    </row>
    <row r="61" spans="1:16" x14ac:dyDescent="0.3">
      <c r="O61" s="141"/>
      <c r="P61" s="141"/>
    </row>
    <row r="62" spans="1:16" x14ac:dyDescent="0.3">
      <c r="O62" s="141"/>
      <c r="P62" s="141"/>
    </row>
    <row r="63" spans="1:16" x14ac:dyDescent="0.3">
      <c r="O63" s="141"/>
      <c r="P63" s="141"/>
    </row>
    <row r="64" spans="1:16" x14ac:dyDescent="0.3">
      <c r="O64" s="141"/>
      <c r="P64" s="141"/>
    </row>
    <row r="65" spans="15:16" x14ac:dyDescent="0.3">
      <c r="O65" s="141"/>
      <c r="P65" s="141"/>
    </row>
    <row r="66" spans="15:16" x14ac:dyDescent="0.3">
      <c r="O66" s="141"/>
      <c r="P66" s="141"/>
    </row>
    <row r="67" spans="15:16" x14ac:dyDescent="0.3">
      <c r="O67" s="141"/>
      <c r="P67" s="141"/>
    </row>
    <row r="68" spans="15:16" x14ac:dyDescent="0.3">
      <c r="O68" s="141"/>
      <c r="P68" s="141"/>
    </row>
    <row r="69" spans="15:16" x14ac:dyDescent="0.3">
      <c r="O69" s="141"/>
      <c r="P69" s="141"/>
    </row>
    <row r="70" spans="15:16" x14ac:dyDescent="0.3">
      <c r="O70" s="141"/>
      <c r="P70" s="141"/>
    </row>
    <row r="71" spans="15:16" x14ac:dyDescent="0.3">
      <c r="O71" s="141"/>
      <c r="P71" s="141"/>
    </row>
    <row r="72" spans="15:16" x14ac:dyDescent="0.3">
      <c r="O72" s="141"/>
      <c r="P72" s="141"/>
    </row>
    <row r="73" spans="15:16" x14ac:dyDescent="0.3">
      <c r="O73" s="141"/>
      <c r="P73" s="141"/>
    </row>
    <row r="74" spans="15:16" x14ac:dyDescent="0.3">
      <c r="O74" s="141"/>
      <c r="P74" s="141"/>
    </row>
    <row r="75" spans="15:16" x14ac:dyDescent="0.3">
      <c r="O75" s="141"/>
      <c r="P75" s="141"/>
    </row>
    <row r="76" spans="15:16" x14ac:dyDescent="0.3">
      <c r="O76" s="141"/>
      <c r="P76" s="141"/>
    </row>
    <row r="77" spans="15:16" x14ac:dyDescent="0.3">
      <c r="O77" s="141"/>
      <c r="P77" s="141"/>
    </row>
    <row r="78" spans="15:16" x14ac:dyDescent="0.3">
      <c r="O78" s="141"/>
      <c r="P78" s="141"/>
    </row>
    <row r="79" spans="15:16" x14ac:dyDescent="0.3">
      <c r="O79" s="141"/>
      <c r="P79" s="141"/>
    </row>
    <row r="80" spans="15:16" x14ac:dyDescent="0.3">
      <c r="O80" s="141"/>
      <c r="P80" s="141"/>
    </row>
    <row r="81" spans="15:16" x14ac:dyDescent="0.3">
      <c r="O81" s="141"/>
      <c r="P81" s="141"/>
    </row>
    <row r="82" spans="15:16" x14ac:dyDescent="0.3">
      <c r="O82" s="141"/>
      <c r="P82" s="141"/>
    </row>
    <row r="83" spans="15:16" x14ac:dyDescent="0.3">
      <c r="O83" s="141"/>
      <c r="P83" s="141"/>
    </row>
    <row r="84" spans="15:16" x14ac:dyDescent="0.3">
      <c r="O84" s="141"/>
      <c r="P84" s="141"/>
    </row>
    <row r="85" spans="15:16" x14ac:dyDescent="0.3">
      <c r="O85" s="141"/>
      <c r="P85" s="141"/>
    </row>
    <row r="86" spans="15:16" x14ac:dyDescent="0.3">
      <c r="O86" s="141"/>
      <c r="P86" s="141"/>
    </row>
    <row r="87" spans="15:16" x14ac:dyDescent="0.3">
      <c r="O87" s="141"/>
      <c r="P87" s="141"/>
    </row>
    <row r="88" spans="15:16" x14ac:dyDescent="0.3">
      <c r="O88" s="141"/>
      <c r="P88" s="141"/>
    </row>
    <row r="89" spans="15:16" x14ac:dyDescent="0.3">
      <c r="O89" s="141"/>
      <c r="P89" s="141"/>
    </row>
    <row r="90" spans="15:16" x14ac:dyDescent="0.3">
      <c r="O90" s="141"/>
      <c r="P90" s="141"/>
    </row>
    <row r="91" spans="15:16" x14ac:dyDescent="0.3">
      <c r="O91" s="141"/>
      <c r="P91" s="141"/>
    </row>
    <row r="92" spans="15:16" x14ac:dyDescent="0.3">
      <c r="O92" s="141"/>
      <c r="P92" s="141"/>
    </row>
    <row r="93" spans="15:16" x14ac:dyDescent="0.3">
      <c r="O93" s="141"/>
      <c r="P93" s="141"/>
    </row>
    <row r="94" spans="15:16" x14ac:dyDescent="0.3">
      <c r="O94" s="141"/>
      <c r="P94" s="141"/>
    </row>
    <row r="95" spans="15:16" x14ac:dyDescent="0.3">
      <c r="O95" s="141"/>
      <c r="P95" s="141"/>
    </row>
    <row r="96" spans="15:16" x14ac:dyDescent="0.3">
      <c r="O96" s="141"/>
      <c r="P96" s="141"/>
    </row>
    <row r="97" spans="15:16" x14ac:dyDescent="0.3">
      <c r="O97" s="141"/>
      <c r="P97" s="141"/>
    </row>
    <row r="98" spans="15:16" x14ac:dyDescent="0.3">
      <c r="O98" s="141"/>
      <c r="P98" s="141"/>
    </row>
    <row r="99" spans="15:16" x14ac:dyDescent="0.3">
      <c r="O99" s="141"/>
      <c r="P99" s="141"/>
    </row>
    <row r="100" spans="15:16" x14ac:dyDescent="0.3">
      <c r="O100" s="141"/>
      <c r="P100" s="141"/>
    </row>
    <row r="101" spans="15:16" x14ac:dyDescent="0.3">
      <c r="O101" s="141"/>
      <c r="P101" s="141"/>
    </row>
    <row r="102" spans="15:16" x14ac:dyDescent="0.3">
      <c r="O102" s="141"/>
      <c r="P102" s="141"/>
    </row>
    <row r="103" spans="15:16" x14ac:dyDescent="0.3">
      <c r="O103" s="141"/>
      <c r="P103" s="141"/>
    </row>
    <row r="104" spans="15:16" x14ac:dyDescent="0.3">
      <c r="O104" s="141"/>
      <c r="P104" s="141"/>
    </row>
    <row r="105" spans="15:16" x14ac:dyDescent="0.3">
      <c r="O105" s="141"/>
      <c r="P105" s="141"/>
    </row>
    <row r="106" spans="15:16" x14ac:dyDescent="0.3">
      <c r="O106" s="141"/>
      <c r="P106" s="141"/>
    </row>
    <row r="107" spans="15:16" x14ac:dyDescent="0.3">
      <c r="O107" s="141"/>
      <c r="P107" s="141"/>
    </row>
    <row r="108" spans="15:16" x14ac:dyDescent="0.3">
      <c r="O108" s="141"/>
      <c r="P108" s="141"/>
    </row>
    <row r="109" spans="15:16" x14ac:dyDescent="0.3">
      <c r="O109" s="141"/>
      <c r="P109" s="141"/>
    </row>
    <row r="110" spans="15:16" x14ac:dyDescent="0.3">
      <c r="O110" s="141"/>
      <c r="P110" s="141"/>
    </row>
    <row r="111" spans="15:16" x14ac:dyDescent="0.3">
      <c r="O111" s="141"/>
      <c r="P111" s="141"/>
    </row>
    <row r="112" spans="15:16" x14ac:dyDescent="0.3">
      <c r="O112" s="141"/>
      <c r="P112" s="141"/>
    </row>
    <row r="113" spans="15:16" x14ac:dyDescent="0.3">
      <c r="O113" s="141"/>
      <c r="P113" s="141"/>
    </row>
    <row r="114" spans="15:16" x14ac:dyDescent="0.3">
      <c r="O114" s="141"/>
      <c r="P114" s="141"/>
    </row>
    <row r="115" spans="15:16" x14ac:dyDescent="0.3">
      <c r="O115" s="141"/>
      <c r="P115" s="141"/>
    </row>
    <row r="116" spans="15:16" x14ac:dyDescent="0.3">
      <c r="O116" s="141"/>
      <c r="P116" s="141"/>
    </row>
    <row r="117" spans="15:16" x14ac:dyDescent="0.3">
      <c r="O117" s="141"/>
      <c r="P117" s="141"/>
    </row>
    <row r="118" spans="15:16" x14ac:dyDescent="0.3">
      <c r="O118" s="141"/>
      <c r="P118" s="141"/>
    </row>
    <row r="119" spans="15:16" x14ac:dyDescent="0.3">
      <c r="O119" s="141"/>
      <c r="P119" s="141"/>
    </row>
    <row r="120" spans="15:16" x14ac:dyDescent="0.3">
      <c r="O120" s="141"/>
      <c r="P120" s="141"/>
    </row>
    <row r="121" spans="15:16" x14ac:dyDescent="0.3">
      <c r="O121" s="141"/>
      <c r="P121" s="141"/>
    </row>
    <row r="122" spans="15:16" x14ac:dyDescent="0.3">
      <c r="O122" s="141"/>
      <c r="P122" s="141"/>
    </row>
    <row r="123" spans="15:16" x14ac:dyDescent="0.3">
      <c r="O123" s="141"/>
      <c r="P123" s="141"/>
    </row>
    <row r="124" spans="15:16" x14ac:dyDescent="0.3">
      <c r="O124" s="141"/>
      <c r="P124" s="141"/>
    </row>
    <row r="125" spans="15:16" x14ac:dyDescent="0.3">
      <c r="O125" s="141"/>
      <c r="P125" s="141"/>
    </row>
    <row r="126" spans="15:16" x14ac:dyDescent="0.3">
      <c r="O126" s="141"/>
      <c r="P126" s="141"/>
    </row>
    <row r="127" spans="15:16" x14ac:dyDescent="0.3">
      <c r="O127" s="141"/>
      <c r="P127" s="141"/>
    </row>
    <row r="128" spans="15:16" x14ac:dyDescent="0.3">
      <c r="O128" s="141"/>
      <c r="P128" s="141"/>
    </row>
    <row r="129" spans="15:16" x14ac:dyDescent="0.3">
      <c r="O129" s="141"/>
      <c r="P129" s="141"/>
    </row>
    <row r="130" spans="15:16" x14ac:dyDescent="0.3">
      <c r="O130" s="141"/>
      <c r="P130" s="141"/>
    </row>
    <row r="131" spans="15:16" x14ac:dyDescent="0.3">
      <c r="O131" s="141"/>
      <c r="P131" s="141"/>
    </row>
    <row r="132" spans="15:16" x14ac:dyDescent="0.3">
      <c r="O132" s="141"/>
      <c r="P132" s="141"/>
    </row>
    <row r="133" spans="15:16" x14ac:dyDescent="0.3">
      <c r="O133" s="141"/>
      <c r="P133" s="141"/>
    </row>
    <row r="134" spans="15:16" x14ac:dyDescent="0.3">
      <c r="O134" s="141"/>
      <c r="P134" s="141"/>
    </row>
    <row r="135" spans="15:16" x14ac:dyDescent="0.3">
      <c r="O135" s="141"/>
      <c r="P135" s="141"/>
    </row>
    <row r="136" spans="15:16" x14ac:dyDescent="0.3">
      <c r="O136" s="141"/>
      <c r="P136" s="141"/>
    </row>
    <row r="137" spans="15:16" x14ac:dyDescent="0.3">
      <c r="O137" s="141"/>
      <c r="P137" s="141"/>
    </row>
    <row r="138" spans="15:16" x14ac:dyDescent="0.3">
      <c r="O138" s="141"/>
      <c r="P138" s="141"/>
    </row>
    <row r="139" spans="15:16" x14ac:dyDescent="0.3">
      <c r="O139" s="141"/>
      <c r="P139" s="141"/>
    </row>
    <row r="140" spans="15:16" x14ac:dyDescent="0.3">
      <c r="O140" s="141"/>
      <c r="P140" s="141"/>
    </row>
    <row r="141" spans="15:16" x14ac:dyDescent="0.3">
      <c r="O141" s="141"/>
      <c r="P141" s="141"/>
    </row>
    <row r="142" spans="15:16" x14ac:dyDescent="0.3">
      <c r="O142" s="141"/>
      <c r="P142" s="141"/>
    </row>
    <row r="143" spans="15:16" x14ac:dyDescent="0.3">
      <c r="O143" s="141"/>
      <c r="P143" s="141"/>
    </row>
    <row r="144" spans="15:16" x14ac:dyDescent="0.3">
      <c r="O144" s="141"/>
      <c r="P144" s="141"/>
    </row>
    <row r="145" spans="15:16" x14ac:dyDescent="0.3">
      <c r="O145" s="141"/>
      <c r="P145" s="141"/>
    </row>
    <row r="146" spans="15:16" x14ac:dyDescent="0.3">
      <c r="O146" s="141"/>
      <c r="P146" s="141"/>
    </row>
    <row r="147" spans="15:16" x14ac:dyDescent="0.3">
      <c r="O147" s="141"/>
      <c r="P147" s="141"/>
    </row>
    <row r="148" spans="15:16" x14ac:dyDescent="0.3">
      <c r="O148" s="141"/>
      <c r="P148" s="141"/>
    </row>
    <row r="149" spans="15:16" x14ac:dyDescent="0.3">
      <c r="O149" s="141"/>
      <c r="P149" s="141"/>
    </row>
    <row r="150" spans="15:16" x14ac:dyDescent="0.3">
      <c r="O150" s="141"/>
      <c r="P150" s="141"/>
    </row>
    <row r="151" spans="15:16" x14ac:dyDescent="0.3">
      <c r="O151" s="141"/>
      <c r="P151" s="141"/>
    </row>
    <row r="152" spans="15:16" x14ac:dyDescent="0.3">
      <c r="O152" s="141"/>
      <c r="P152" s="141"/>
    </row>
    <row r="153" spans="15:16" x14ac:dyDescent="0.3">
      <c r="O153" s="141"/>
      <c r="P153" s="141"/>
    </row>
    <row r="154" spans="15:16" x14ac:dyDescent="0.3">
      <c r="O154" s="141"/>
      <c r="P154" s="141"/>
    </row>
    <row r="155" spans="15:16" x14ac:dyDescent="0.3">
      <c r="O155" s="141"/>
      <c r="P155" s="141"/>
    </row>
    <row r="156" spans="15:16" x14ac:dyDescent="0.3">
      <c r="O156" s="141"/>
      <c r="P156" s="141"/>
    </row>
    <row r="157" spans="15:16" x14ac:dyDescent="0.3">
      <c r="O157" s="141"/>
      <c r="P157" s="141"/>
    </row>
    <row r="158" spans="15:16" x14ac:dyDescent="0.3">
      <c r="O158" s="141"/>
      <c r="P158" s="141"/>
    </row>
    <row r="159" spans="15:16" x14ac:dyDescent="0.3">
      <c r="O159" s="141"/>
      <c r="P159" s="141"/>
    </row>
    <row r="160" spans="15:16" x14ac:dyDescent="0.3">
      <c r="O160" s="141"/>
      <c r="P160" s="141"/>
    </row>
    <row r="161" spans="15:16" x14ac:dyDescent="0.3">
      <c r="O161" s="141"/>
      <c r="P161" s="141"/>
    </row>
    <row r="162" spans="15:16" x14ac:dyDescent="0.3">
      <c r="O162" s="141"/>
      <c r="P162" s="141"/>
    </row>
    <row r="163" spans="15:16" x14ac:dyDescent="0.3">
      <c r="O163" s="141"/>
      <c r="P163" s="141"/>
    </row>
    <row r="164" spans="15:16" x14ac:dyDescent="0.3">
      <c r="O164" s="141"/>
      <c r="P164" s="141"/>
    </row>
    <row r="165" spans="15:16" x14ac:dyDescent="0.3">
      <c r="O165" s="141"/>
      <c r="P165" s="141"/>
    </row>
    <row r="166" spans="15:16" x14ac:dyDescent="0.3">
      <c r="O166" s="141"/>
      <c r="P166" s="141"/>
    </row>
    <row r="167" spans="15:16" x14ac:dyDescent="0.3">
      <c r="O167" s="141"/>
      <c r="P167" s="141"/>
    </row>
    <row r="168" spans="15:16" x14ac:dyDescent="0.3">
      <c r="O168" s="141"/>
      <c r="P168" s="141"/>
    </row>
    <row r="169" spans="15:16" x14ac:dyDescent="0.3">
      <c r="O169" s="141"/>
      <c r="P169" s="141"/>
    </row>
    <row r="170" spans="15:16" x14ac:dyDescent="0.3">
      <c r="O170" s="141"/>
      <c r="P170" s="141"/>
    </row>
    <row r="171" spans="15:16" x14ac:dyDescent="0.3">
      <c r="O171" s="141"/>
      <c r="P171" s="141"/>
    </row>
    <row r="172" spans="15:16" x14ac:dyDescent="0.3">
      <c r="O172" s="141"/>
      <c r="P172" s="141"/>
    </row>
    <row r="173" spans="15:16" x14ac:dyDescent="0.3">
      <c r="O173" s="141"/>
      <c r="P173" s="141"/>
    </row>
    <row r="174" spans="15:16" x14ac:dyDescent="0.3">
      <c r="O174" s="141"/>
      <c r="P174" s="141"/>
    </row>
    <row r="175" spans="15:16" x14ac:dyDescent="0.3">
      <c r="O175" s="141"/>
      <c r="P175" s="141"/>
    </row>
    <row r="176" spans="15:16" x14ac:dyDescent="0.3">
      <c r="O176" s="141"/>
      <c r="P176" s="141"/>
    </row>
    <row r="177" spans="15:16" x14ac:dyDescent="0.3">
      <c r="O177" s="141"/>
      <c r="P177" s="141"/>
    </row>
    <row r="178" spans="15:16" x14ac:dyDescent="0.3">
      <c r="O178" s="141"/>
      <c r="P178" s="141"/>
    </row>
    <row r="179" spans="15:16" x14ac:dyDescent="0.3">
      <c r="O179" s="141"/>
      <c r="P179" s="141"/>
    </row>
    <row r="180" spans="15:16" x14ac:dyDescent="0.3">
      <c r="O180" s="141"/>
      <c r="P180" s="141"/>
    </row>
    <row r="181" spans="15:16" x14ac:dyDescent="0.3">
      <c r="O181" s="141"/>
      <c r="P181" s="141"/>
    </row>
    <row r="182" spans="15:16" x14ac:dyDescent="0.3">
      <c r="O182" s="141"/>
      <c r="P182" s="141"/>
    </row>
    <row r="183" spans="15:16" x14ac:dyDescent="0.3">
      <c r="O183" s="141"/>
      <c r="P183" s="141"/>
    </row>
    <row r="184" spans="15:16" x14ac:dyDescent="0.3">
      <c r="O184" s="141"/>
      <c r="P184" s="141"/>
    </row>
    <row r="185" spans="15:16" x14ac:dyDescent="0.3">
      <c r="O185" s="141"/>
      <c r="P185" s="141"/>
    </row>
    <row r="186" spans="15:16" x14ac:dyDescent="0.3">
      <c r="O186" s="141"/>
      <c r="P186" s="141"/>
    </row>
    <row r="187" spans="15:16" x14ac:dyDescent="0.3">
      <c r="O187" s="141"/>
      <c r="P187" s="141"/>
    </row>
    <row r="188" spans="15:16" x14ac:dyDescent="0.3">
      <c r="O188" s="141"/>
      <c r="P188" s="141"/>
    </row>
    <row r="189" spans="15:16" x14ac:dyDescent="0.3">
      <c r="O189" s="141"/>
      <c r="P189" s="141"/>
    </row>
    <row r="190" spans="15:16" x14ac:dyDescent="0.3">
      <c r="O190" s="141"/>
      <c r="P190" s="141"/>
    </row>
    <row r="191" spans="15:16" x14ac:dyDescent="0.3">
      <c r="O191" s="141"/>
      <c r="P191" s="141"/>
    </row>
    <row r="192" spans="15:16" x14ac:dyDescent="0.3">
      <c r="O192" s="141"/>
      <c r="P192" s="141"/>
    </row>
    <row r="193" spans="15:16" x14ac:dyDescent="0.3">
      <c r="O193" s="141"/>
      <c r="P193" s="141"/>
    </row>
    <row r="194" spans="15:16" x14ac:dyDescent="0.3">
      <c r="O194" s="141"/>
      <c r="P194" s="141"/>
    </row>
    <row r="195" spans="15:16" x14ac:dyDescent="0.3">
      <c r="O195" s="141"/>
      <c r="P195" s="141"/>
    </row>
    <row r="196" spans="15:16" x14ac:dyDescent="0.3">
      <c r="O196" s="141"/>
      <c r="P196" s="141"/>
    </row>
    <row r="197" spans="15:16" x14ac:dyDescent="0.3">
      <c r="O197" s="141"/>
      <c r="P197" s="141"/>
    </row>
    <row r="198" spans="15:16" x14ac:dyDescent="0.3">
      <c r="O198" s="141"/>
      <c r="P198" s="141"/>
    </row>
    <row r="199" spans="15:16" x14ac:dyDescent="0.3">
      <c r="O199" s="141"/>
      <c r="P199" s="141"/>
    </row>
    <row r="200" spans="15:16" x14ac:dyDescent="0.3">
      <c r="O200" s="141"/>
      <c r="P200" s="141"/>
    </row>
    <row r="201" spans="15:16" x14ac:dyDescent="0.3">
      <c r="O201" s="141"/>
      <c r="P201" s="141"/>
    </row>
    <row r="202" spans="15:16" x14ac:dyDescent="0.3">
      <c r="O202" s="141"/>
      <c r="P202" s="141"/>
    </row>
    <row r="203" spans="15:16" x14ac:dyDescent="0.3">
      <c r="O203" s="141"/>
      <c r="P203" s="141"/>
    </row>
    <row r="204" spans="15:16" x14ac:dyDescent="0.3">
      <c r="O204" s="141"/>
      <c r="P204" s="141"/>
    </row>
    <row r="205" spans="15:16" x14ac:dyDescent="0.3">
      <c r="O205" s="141"/>
      <c r="P205" s="141"/>
    </row>
    <row r="206" spans="15:16" x14ac:dyDescent="0.3">
      <c r="O206" s="141"/>
      <c r="P206" s="141"/>
    </row>
    <row r="207" spans="15:16" x14ac:dyDescent="0.3">
      <c r="O207" s="141"/>
      <c r="P207" s="141"/>
    </row>
    <row r="208" spans="15:16" x14ac:dyDescent="0.3">
      <c r="O208" s="141"/>
      <c r="P208" s="141"/>
    </row>
    <row r="209" spans="15:16" x14ac:dyDescent="0.3">
      <c r="O209" s="141"/>
      <c r="P209" s="141"/>
    </row>
    <row r="210" spans="15:16" x14ac:dyDescent="0.3">
      <c r="O210" s="141"/>
      <c r="P210" s="141"/>
    </row>
    <row r="211" spans="15:16" x14ac:dyDescent="0.3">
      <c r="O211" s="141"/>
      <c r="P211" s="141"/>
    </row>
    <row r="212" spans="15:16" x14ac:dyDescent="0.3">
      <c r="O212" s="141"/>
      <c r="P212" s="141"/>
    </row>
    <row r="213" spans="15:16" x14ac:dyDescent="0.3">
      <c r="O213" s="141"/>
      <c r="P213" s="141"/>
    </row>
    <row r="214" spans="15:16" x14ac:dyDescent="0.3">
      <c r="O214" s="141"/>
      <c r="P214" s="141"/>
    </row>
    <row r="215" spans="15:16" x14ac:dyDescent="0.3">
      <c r="O215" s="141"/>
      <c r="P215" s="141"/>
    </row>
    <row r="216" spans="15:16" x14ac:dyDescent="0.3">
      <c r="O216" s="141"/>
      <c r="P216" s="141"/>
    </row>
    <row r="217" spans="15:16" x14ac:dyDescent="0.3">
      <c r="O217" s="141"/>
      <c r="P217" s="141"/>
    </row>
    <row r="218" spans="15:16" x14ac:dyDescent="0.3">
      <c r="O218" s="141"/>
      <c r="P218" s="141"/>
    </row>
    <row r="219" spans="15:16" x14ac:dyDescent="0.3">
      <c r="O219" s="141"/>
      <c r="P219" s="141"/>
    </row>
    <row r="220" spans="15:16" x14ac:dyDescent="0.3">
      <c r="O220" s="141"/>
      <c r="P220" s="141"/>
    </row>
    <row r="221" spans="15:16" x14ac:dyDescent="0.3">
      <c r="O221" s="141"/>
      <c r="P221" s="141"/>
    </row>
    <row r="222" spans="15:16" x14ac:dyDescent="0.3">
      <c r="O222" s="141"/>
      <c r="P222" s="141"/>
    </row>
    <row r="223" spans="15:16" x14ac:dyDescent="0.3">
      <c r="O223" s="141"/>
      <c r="P223" s="141"/>
    </row>
    <row r="224" spans="15:16" x14ac:dyDescent="0.3">
      <c r="O224" s="141"/>
      <c r="P224" s="141"/>
    </row>
    <row r="225" spans="15:16" x14ac:dyDescent="0.3">
      <c r="O225" s="141"/>
      <c r="P225" s="141"/>
    </row>
    <row r="226" spans="15:16" x14ac:dyDescent="0.3">
      <c r="O226" s="141"/>
      <c r="P226" s="141"/>
    </row>
    <row r="227" spans="15:16" x14ac:dyDescent="0.3">
      <c r="O227" s="141"/>
      <c r="P227" s="141"/>
    </row>
    <row r="228" spans="15:16" x14ac:dyDescent="0.3">
      <c r="O228" s="141"/>
    </row>
    <row r="229" spans="15:16" x14ac:dyDescent="0.3">
      <c r="O229" s="141"/>
    </row>
    <row r="230" spans="15:16" x14ac:dyDescent="0.3">
      <c r="O230" s="141"/>
    </row>
    <row r="231" spans="15:16" x14ac:dyDescent="0.3">
      <c r="O231" s="141"/>
    </row>
    <row r="232" spans="15:16" x14ac:dyDescent="0.3">
      <c r="O232" s="141"/>
    </row>
    <row r="233" spans="15:16" x14ac:dyDescent="0.3">
      <c r="O233" s="141"/>
    </row>
    <row r="234" spans="15:16" x14ac:dyDescent="0.3">
      <c r="O234" s="141"/>
    </row>
    <row r="235" spans="15:16" x14ac:dyDescent="0.3">
      <c r="O235" s="141"/>
    </row>
    <row r="236" spans="15:16" x14ac:dyDescent="0.3">
      <c r="O236" s="141"/>
    </row>
    <row r="237" spans="15:16" x14ac:dyDescent="0.3">
      <c r="O237" s="141"/>
    </row>
    <row r="238" spans="15:16" x14ac:dyDescent="0.3">
      <c r="O238" s="141"/>
    </row>
    <row r="239" spans="15:16" x14ac:dyDescent="0.3">
      <c r="O239" s="141"/>
    </row>
    <row r="240" spans="15:16" x14ac:dyDescent="0.3">
      <c r="O240" s="141"/>
    </row>
    <row r="241" spans="15:15" x14ac:dyDescent="0.3">
      <c r="O241" s="141"/>
    </row>
    <row r="242" spans="15:15" x14ac:dyDescent="0.3">
      <c r="O242" s="141"/>
    </row>
    <row r="243" spans="15:15" x14ac:dyDescent="0.3">
      <c r="O243" s="141"/>
    </row>
    <row r="244" spans="15:15" x14ac:dyDescent="0.3">
      <c r="O244" s="141"/>
    </row>
    <row r="245" spans="15:15" x14ac:dyDescent="0.3">
      <c r="O245" s="141"/>
    </row>
    <row r="246" spans="15:15" x14ac:dyDescent="0.3">
      <c r="O246" s="141"/>
    </row>
    <row r="247" spans="15:15" x14ac:dyDescent="0.3">
      <c r="O247" s="141"/>
    </row>
    <row r="248" spans="15:15" x14ac:dyDescent="0.3">
      <c r="O248" s="141"/>
    </row>
    <row r="249" spans="15:15" x14ac:dyDescent="0.3">
      <c r="O249" s="141"/>
    </row>
    <row r="250" spans="15:15" x14ac:dyDescent="0.3">
      <c r="O250" s="141"/>
    </row>
    <row r="251" spans="15:15" x14ac:dyDescent="0.3">
      <c r="O251" s="141"/>
    </row>
    <row r="252" spans="15:15" x14ac:dyDescent="0.3">
      <c r="O252" s="141"/>
    </row>
    <row r="253" spans="15:15" x14ac:dyDescent="0.3">
      <c r="O253" s="141"/>
    </row>
    <row r="254" spans="15:15" x14ac:dyDescent="0.3">
      <c r="O254" s="141"/>
    </row>
    <row r="255" spans="15:15" x14ac:dyDescent="0.3">
      <c r="O255" s="141"/>
    </row>
    <row r="256" spans="15:15" x14ac:dyDescent="0.3">
      <c r="O256" s="141"/>
    </row>
    <row r="257" spans="15:15" x14ac:dyDescent="0.3">
      <c r="O257" s="141"/>
    </row>
    <row r="258" spans="15:15" x14ac:dyDescent="0.3">
      <c r="O258" s="141"/>
    </row>
    <row r="259" spans="15:15" x14ac:dyDescent="0.3">
      <c r="O259" s="141"/>
    </row>
    <row r="260" spans="15:15" x14ac:dyDescent="0.3">
      <c r="O260" s="141"/>
    </row>
    <row r="261" spans="15:15" x14ac:dyDescent="0.3">
      <c r="O261" s="141"/>
    </row>
    <row r="262" spans="15:15" x14ac:dyDescent="0.3">
      <c r="O262" s="141"/>
    </row>
    <row r="263" spans="15:15" x14ac:dyDescent="0.3">
      <c r="O263" s="141"/>
    </row>
    <row r="264" spans="15:15" x14ac:dyDescent="0.3">
      <c r="O264" s="141"/>
    </row>
    <row r="265" spans="15:15" x14ac:dyDescent="0.3">
      <c r="O265" s="141"/>
    </row>
    <row r="266" spans="15:15" x14ac:dyDescent="0.3">
      <c r="O266" s="141"/>
    </row>
    <row r="267" spans="15:15" x14ac:dyDescent="0.3">
      <c r="O267" s="141"/>
    </row>
    <row r="268" spans="15:15" x14ac:dyDescent="0.3">
      <c r="O268" s="141"/>
    </row>
    <row r="269" spans="15:15" x14ac:dyDescent="0.3">
      <c r="O269" s="141"/>
    </row>
    <row r="270" spans="15:15" x14ac:dyDescent="0.3">
      <c r="O270" s="141"/>
    </row>
    <row r="271" spans="15:15" x14ac:dyDescent="0.3">
      <c r="O271" s="141"/>
    </row>
    <row r="272" spans="15:15" x14ac:dyDescent="0.3">
      <c r="O272" s="141"/>
    </row>
    <row r="273" spans="15:15" x14ac:dyDescent="0.3">
      <c r="O273" s="141"/>
    </row>
    <row r="274" spans="15:15" x14ac:dyDescent="0.3">
      <c r="O274" s="141"/>
    </row>
    <row r="275" spans="15:15" x14ac:dyDescent="0.3">
      <c r="O275" s="141"/>
    </row>
    <row r="276" spans="15:15" x14ac:dyDescent="0.3">
      <c r="O276" s="141"/>
    </row>
    <row r="277" spans="15:15" x14ac:dyDescent="0.3">
      <c r="O277" s="141"/>
    </row>
    <row r="278" spans="15:15" x14ac:dyDescent="0.3">
      <c r="O278" s="141"/>
    </row>
    <row r="279" spans="15:15" x14ac:dyDescent="0.3">
      <c r="O279" s="141"/>
    </row>
    <row r="280" spans="15:15" x14ac:dyDescent="0.3">
      <c r="O280" s="141"/>
    </row>
    <row r="281" spans="15:15" x14ac:dyDescent="0.3">
      <c r="O281" s="141"/>
    </row>
    <row r="282" spans="15:15" x14ac:dyDescent="0.3">
      <c r="O282" s="141"/>
    </row>
    <row r="283" spans="15:15" x14ac:dyDescent="0.3">
      <c r="O283" s="141"/>
    </row>
    <row r="284" spans="15:15" x14ac:dyDescent="0.3">
      <c r="O284" s="141"/>
    </row>
    <row r="285" spans="15:15" x14ac:dyDescent="0.3">
      <c r="O285" s="141"/>
    </row>
    <row r="286" spans="15:15" x14ac:dyDescent="0.3">
      <c r="O286" s="141"/>
    </row>
    <row r="287" spans="15:15" x14ac:dyDescent="0.3">
      <c r="O287" s="141"/>
    </row>
    <row r="288" spans="15:15" x14ac:dyDescent="0.3">
      <c r="O288" s="141"/>
    </row>
    <row r="289" spans="15:15" x14ac:dyDescent="0.3">
      <c r="O289" s="141"/>
    </row>
    <row r="290" spans="15:15" x14ac:dyDescent="0.3">
      <c r="O290" s="141"/>
    </row>
    <row r="291" spans="15:15" x14ac:dyDescent="0.3">
      <c r="O291" s="141"/>
    </row>
  </sheetData>
  <mergeCells count="6">
    <mergeCell ref="M12:O15"/>
    <mergeCell ref="A43:C45"/>
    <mergeCell ref="F43:K43"/>
    <mergeCell ref="F44:K44"/>
    <mergeCell ref="F45:K45"/>
    <mergeCell ref="A42:K42"/>
  </mergeCells>
  <conditionalFormatting sqref="A1:XFD1048576">
    <cfRule type="containsErrors" dxfId="1" priority="1">
      <formula>ISERROR(A1)</formula>
    </cfRule>
  </conditionalFormatting>
  <printOptions horizontalCentered="1"/>
  <pageMargins left="0.25" right="0.25" top="0.75" bottom="0.75" header="0.3" footer="0.3"/>
  <pageSetup orientation="portrait" r:id="rId1"/>
  <headerFooter>
    <oddHeader>&amp;C&amp;"Arial,Bold"&amp;12OSMRE Blast-Induced Vibration Data Evaluation</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T291"/>
  <sheetViews>
    <sheetView view="pageBreakPreview" zoomScaleNormal="100" zoomScaleSheetLayoutView="100" workbookViewId="0">
      <selection activeCell="L1" sqref="L1"/>
    </sheetView>
  </sheetViews>
  <sheetFormatPr defaultColWidth="9.109375" defaultRowHeight="14.4" x14ac:dyDescent="0.3"/>
  <cols>
    <col min="1" max="1" width="9.109375" style="140" customWidth="1"/>
    <col min="2" max="5" width="9.109375" style="140"/>
    <col min="6" max="6" width="9.109375" style="140" customWidth="1"/>
    <col min="7" max="12" width="9.109375" style="140"/>
    <col min="13" max="13" width="51.44140625" style="139" customWidth="1"/>
    <col min="14" max="17" width="16" style="139" customWidth="1"/>
    <col min="18" max="16384" width="9.109375" style="140"/>
  </cols>
  <sheetData>
    <row r="1" spans="1:20" s="30" customFormat="1" ht="15" customHeight="1" x14ac:dyDescent="0.25">
      <c r="A1" s="20" t="s">
        <v>56</v>
      </c>
      <c r="B1" s="21" t="str">
        <f>Input_Data!H1</f>
        <v>Pittsburgh Mine</v>
      </c>
      <c r="C1" s="22"/>
      <c r="D1" s="23"/>
      <c r="E1" s="23"/>
      <c r="F1" s="24"/>
      <c r="G1" s="25"/>
      <c r="H1" s="25" t="s">
        <v>50</v>
      </c>
      <c r="I1" s="21" t="str">
        <f>Input_Data!C1</f>
        <v>OSMRE</v>
      </c>
      <c r="J1" s="22"/>
      <c r="K1" s="23"/>
      <c r="L1" s="25"/>
      <c r="M1" s="114" t="s">
        <v>102</v>
      </c>
      <c r="N1" s="115"/>
      <c r="O1" s="92"/>
      <c r="P1" s="130"/>
      <c r="Q1" s="130"/>
    </row>
    <row r="2" spans="1:20" s="30" customFormat="1" ht="15" customHeight="1" x14ac:dyDescent="0.25">
      <c r="A2" s="20" t="s">
        <v>66</v>
      </c>
      <c r="B2" s="26" t="str">
        <f>Input_Data!H2</f>
        <v>D-12345</v>
      </c>
      <c r="C2" s="27"/>
      <c r="D2" s="27"/>
      <c r="E2" s="27"/>
      <c r="F2" s="26"/>
      <c r="G2" s="25"/>
      <c r="H2" s="25" t="s">
        <v>52</v>
      </c>
      <c r="I2" s="28">
        <f>Input_Data!M1</f>
        <v>43466</v>
      </c>
      <c r="J2" s="29"/>
      <c r="K2" s="27"/>
      <c r="L2" s="131"/>
      <c r="M2" s="93" t="s">
        <v>79</v>
      </c>
      <c r="N2" s="12">
        <f ca="1">ROUNDDOWN(MIN(Metric_SD3),0)</f>
        <v>2</v>
      </c>
      <c r="O2" s="94"/>
      <c r="P2" s="130"/>
      <c r="Q2" s="130"/>
    </row>
    <row r="3" spans="1:20" s="30" customFormat="1" ht="15" customHeight="1" x14ac:dyDescent="0.25">
      <c r="A3" s="30" t="s">
        <v>51</v>
      </c>
      <c r="B3" s="31" t="str">
        <f>Input_Data!C2</f>
        <v>Top Flight Blasting</v>
      </c>
      <c r="C3" s="29"/>
      <c r="D3" s="29"/>
      <c r="E3" s="29"/>
      <c r="F3" s="29"/>
      <c r="H3" s="32" t="s">
        <v>67</v>
      </c>
      <c r="I3" s="31" t="str">
        <f>Input_Data!M2</f>
        <v>Brian Farmer, P.E.</v>
      </c>
      <c r="J3" s="29"/>
      <c r="K3" s="29"/>
      <c r="L3" s="132"/>
      <c r="M3" s="95" t="s">
        <v>80</v>
      </c>
      <c r="N3" s="12">
        <f ca="1">ROUNDUP((MAX(Metric_SD3)),-2)</f>
        <v>300</v>
      </c>
      <c r="O3" s="94"/>
      <c r="P3" s="130"/>
      <c r="Q3" s="130"/>
    </row>
    <row r="4" spans="1:20" s="134" customFormat="1" ht="15" customHeight="1" x14ac:dyDescent="0.25">
      <c r="A4" s="133"/>
      <c r="B4" s="133"/>
      <c r="L4" s="135"/>
      <c r="M4" s="96" t="s">
        <v>118</v>
      </c>
      <c r="N4" s="13">
        <f ca="1">10^(STEYX(Metric_Log_Ab,Metric_Log_SD3))</f>
        <v>1.4759579229217923</v>
      </c>
      <c r="O4" s="97"/>
      <c r="P4" s="136"/>
      <c r="Q4" s="150"/>
    </row>
    <row r="5" spans="1:20" s="134" customFormat="1" ht="15" customHeight="1" x14ac:dyDescent="0.25">
      <c r="J5" s="137"/>
      <c r="L5" s="135"/>
      <c r="M5" s="98" t="s">
        <v>73</v>
      </c>
      <c r="N5" s="13">
        <f ca="1">(AirBlast_Metric!E43*N4)*N4</f>
        <v>1458.9680968229929</v>
      </c>
      <c r="O5" s="97"/>
      <c r="P5" s="136"/>
      <c r="Q5" s="150"/>
    </row>
    <row r="6" spans="1:20" s="134" customFormat="1" ht="15" customHeight="1" x14ac:dyDescent="0.25">
      <c r="M6" s="98" t="s">
        <v>107</v>
      </c>
      <c r="N6" s="13">
        <f ca="1">N5*(N2^AirBlast_Metric!E45)</f>
        <v>791.28030517665388</v>
      </c>
      <c r="O6" s="97"/>
      <c r="P6" s="136"/>
      <c r="Q6" s="150"/>
    </row>
    <row r="7" spans="1:20" s="134" customFormat="1" ht="15" customHeight="1" x14ac:dyDescent="0.25">
      <c r="M7" s="99" t="s">
        <v>108</v>
      </c>
      <c r="N7" s="14">
        <f ca="1">N5*(N3^AirBlast_Metric!E45)</f>
        <v>9.4955827954657277</v>
      </c>
      <c r="O7" s="116"/>
      <c r="P7" s="136"/>
      <c r="Q7" s="150"/>
    </row>
    <row r="8" spans="1:20" s="134" customFormat="1" ht="15" customHeight="1" x14ac:dyDescent="0.25">
      <c r="M8" s="166"/>
      <c r="N8" s="116"/>
      <c r="O8" s="129"/>
      <c r="P8" s="162"/>
      <c r="Q8" s="163"/>
    </row>
    <row r="9" spans="1:20" ht="15" customHeight="1" x14ac:dyDescent="0.3">
      <c r="A9" s="134"/>
      <c r="B9" s="134"/>
      <c r="C9" s="134"/>
      <c r="D9" s="134"/>
      <c r="E9" s="134"/>
      <c r="F9" s="134"/>
      <c r="G9" s="134"/>
      <c r="H9" s="134"/>
      <c r="I9" s="134"/>
      <c r="J9" s="134"/>
      <c r="K9" s="134"/>
      <c r="L9" s="134"/>
      <c r="M9" s="153" t="s">
        <v>115</v>
      </c>
      <c r="N9" s="269" t="s">
        <v>105</v>
      </c>
      <c r="O9" s="266"/>
      <c r="P9" s="265" t="s">
        <v>106</v>
      </c>
      <c r="Q9" s="266"/>
    </row>
    <row r="10" spans="1:20" ht="15" customHeight="1" x14ac:dyDescent="0.3">
      <c r="A10" s="134"/>
      <c r="B10" s="134"/>
      <c r="C10" s="134"/>
      <c r="D10" s="134"/>
      <c r="E10" s="134"/>
      <c r="F10" s="134"/>
      <c r="G10" s="134"/>
      <c r="H10" s="134"/>
      <c r="I10" s="134"/>
      <c r="J10" s="134"/>
      <c r="K10" s="134"/>
      <c r="L10" s="134"/>
      <c r="M10" s="154"/>
      <c r="N10" s="155" t="s">
        <v>97</v>
      </c>
      <c r="O10" s="155" t="s">
        <v>98</v>
      </c>
      <c r="P10" s="155" t="s">
        <v>97</v>
      </c>
      <c r="Q10" s="155" t="s">
        <v>98</v>
      </c>
    </row>
    <row r="11" spans="1:20" ht="15" customHeight="1" x14ac:dyDescent="0.3">
      <c r="A11" s="134"/>
      <c r="B11" s="134"/>
      <c r="C11" s="134"/>
      <c r="D11" s="134"/>
      <c r="E11" s="134"/>
      <c r="F11" s="134"/>
      <c r="G11" s="134"/>
      <c r="H11" s="134"/>
      <c r="I11" s="134"/>
      <c r="J11" s="134"/>
      <c r="K11" s="134"/>
      <c r="L11" s="134"/>
      <c r="M11" s="156" t="s">
        <v>116</v>
      </c>
      <c r="N11" s="157">
        <f ca="1">2596*(N2^-1.62)</f>
        <v>844.57086418181495</v>
      </c>
      <c r="O11" s="158">
        <f ca="1">N11*100</f>
        <v>84457.086418181498</v>
      </c>
      <c r="P11" s="157">
        <f ca="1">2596*(N3^-1.62)</f>
        <v>0.25198126710492236</v>
      </c>
      <c r="Q11" s="158">
        <f ca="1">P11*100</f>
        <v>25.198126710492236</v>
      </c>
    </row>
    <row r="12" spans="1:20" ht="15" customHeight="1" x14ac:dyDescent="0.3">
      <c r="A12" s="134"/>
      <c r="B12" s="134"/>
      <c r="C12" s="134"/>
      <c r="D12" s="134"/>
      <c r="E12" s="134"/>
      <c r="F12" s="134"/>
      <c r="G12" s="134"/>
      <c r="H12" s="134"/>
      <c r="I12" s="134"/>
      <c r="J12" s="134"/>
      <c r="K12" s="134"/>
      <c r="L12" s="134"/>
      <c r="M12" s="159" t="s">
        <v>117</v>
      </c>
      <c r="N12" s="18">
        <f ca="1">5.37*(N2^-0.79)</f>
        <v>3.1057077737856966</v>
      </c>
      <c r="O12" s="160">
        <f ca="1">N12*100</f>
        <v>310.57077737856969</v>
      </c>
      <c r="P12" s="18">
        <f ca="1">5.37*(N3^-0.79)</f>
        <v>5.9299153588725929E-2</v>
      </c>
      <c r="Q12" s="160">
        <f ca="1">P12*100</f>
        <v>5.9299153588725932</v>
      </c>
      <c r="R12" s="30"/>
    </row>
    <row r="13" spans="1:20" ht="15" customHeight="1" x14ac:dyDescent="0.3">
      <c r="A13" s="134"/>
      <c r="B13" s="134"/>
      <c r="C13" s="134"/>
      <c r="D13" s="134"/>
      <c r="E13" s="134"/>
      <c r="F13" s="134"/>
      <c r="G13" s="134"/>
      <c r="H13" s="134"/>
      <c r="I13" s="134"/>
      <c r="J13" s="134"/>
      <c r="K13" s="134"/>
      <c r="L13" s="134"/>
      <c r="M13" s="267" t="s">
        <v>119</v>
      </c>
      <c r="N13" s="268"/>
      <c r="O13" s="268"/>
      <c r="P13" s="268"/>
      <c r="Q13" s="268"/>
      <c r="R13" s="30"/>
      <c r="S13" s="30"/>
      <c r="T13" s="30"/>
    </row>
    <row r="14" spans="1:20" ht="15" customHeight="1" x14ac:dyDescent="0.3">
      <c r="A14" s="134"/>
      <c r="B14" s="134"/>
      <c r="C14" s="134"/>
      <c r="D14" s="134"/>
      <c r="E14" s="134"/>
      <c r="F14" s="134"/>
      <c r="G14" s="134"/>
      <c r="H14" s="134"/>
      <c r="I14" s="134"/>
      <c r="J14" s="134"/>
      <c r="K14" s="134"/>
      <c r="L14" s="134"/>
      <c r="M14" s="268"/>
      <c r="N14" s="268"/>
      <c r="O14" s="268"/>
      <c r="P14" s="268"/>
      <c r="Q14" s="268"/>
      <c r="R14" s="143"/>
    </row>
    <row r="15" spans="1:20" ht="15" customHeight="1" x14ac:dyDescent="0.3">
      <c r="A15" s="134"/>
      <c r="B15" s="134"/>
      <c r="C15" s="134"/>
      <c r="D15" s="134"/>
      <c r="E15" s="134"/>
      <c r="F15" s="134"/>
      <c r="G15" s="134"/>
      <c r="H15" s="134"/>
      <c r="I15" s="134"/>
      <c r="J15" s="134"/>
      <c r="K15" s="134"/>
      <c r="L15" s="134"/>
      <c r="M15" s="268"/>
      <c r="N15" s="268"/>
      <c r="O15" s="268"/>
      <c r="P15" s="268"/>
      <c r="Q15" s="268"/>
      <c r="R15" s="143"/>
    </row>
    <row r="16" spans="1:20" ht="15" customHeight="1" x14ac:dyDescent="0.3">
      <c r="A16" s="134"/>
      <c r="B16" s="134"/>
      <c r="C16" s="134"/>
      <c r="D16" s="134"/>
      <c r="E16" s="134"/>
      <c r="F16" s="134"/>
      <c r="G16" s="134"/>
      <c r="H16" s="134"/>
      <c r="I16" s="134"/>
      <c r="J16" s="134"/>
      <c r="K16" s="134"/>
      <c r="L16" s="134"/>
      <c r="M16" s="150"/>
      <c r="N16" s="150"/>
      <c r="O16" s="150"/>
      <c r="P16" s="136"/>
      <c r="Q16" s="150"/>
      <c r="R16" s="143"/>
    </row>
    <row r="17" spans="1:18" ht="15" customHeight="1" x14ac:dyDescent="0.3">
      <c r="A17" s="134"/>
      <c r="B17" s="134"/>
      <c r="C17" s="134"/>
      <c r="D17" s="134"/>
      <c r="E17" s="134"/>
      <c r="F17" s="134"/>
      <c r="G17" s="134"/>
      <c r="H17" s="134"/>
      <c r="I17" s="134"/>
      <c r="J17" s="134"/>
      <c r="K17" s="134"/>
      <c r="L17" s="134"/>
      <c r="M17" s="138"/>
      <c r="N17" s="138"/>
      <c r="O17" s="141"/>
      <c r="P17" s="141"/>
      <c r="Q17" s="138"/>
      <c r="R17" s="143"/>
    </row>
    <row r="18" spans="1:18" ht="15" customHeight="1" x14ac:dyDescent="0.3">
      <c r="A18" s="134"/>
      <c r="B18" s="134"/>
      <c r="C18" s="134"/>
      <c r="D18" s="134"/>
      <c r="E18" s="134"/>
      <c r="F18" s="134"/>
      <c r="G18" s="134"/>
      <c r="H18" s="134"/>
      <c r="I18" s="134"/>
      <c r="J18" s="134"/>
      <c r="K18" s="134"/>
      <c r="L18" s="134"/>
      <c r="O18" s="141"/>
      <c r="P18" s="141"/>
    </row>
    <row r="19" spans="1:18" ht="15" customHeight="1" x14ac:dyDescent="0.3">
      <c r="A19" s="134"/>
      <c r="B19" s="134"/>
      <c r="C19" s="134"/>
      <c r="D19" s="134"/>
      <c r="E19" s="134"/>
      <c r="F19" s="134"/>
      <c r="G19" s="134"/>
      <c r="H19" s="134"/>
      <c r="I19" s="134"/>
      <c r="J19" s="134"/>
      <c r="K19" s="134"/>
      <c r="L19" s="134"/>
      <c r="O19" s="141"/>
      <c r="P19" s="141"/>
    </row>
    <row r="20" spans="1:18" ht="15" customHeight="1" x14ac:dyDescent="0.3">
      <c r="A20" s="134"/>
      <c r="B20" s="134"/>
      <c r="C20" s="134"/>
      <c r="D20" s="134"/>
      <c r="E20" s="134"/>
      <c r="F20" s="134"/>
      <c r="G20" s="134"/>
      <c r="H20" s="134"/>
      <c r="I20" s="134"/>
      <c r="J20" s="134"/>
      <c r="K20" s="134"/>
      <c r="L20" s="134"/>
      <c r="O20" s="141"/>
      <c r="P20" s="141"/>
    </row>
    <row r="21" spans="1:18" ht="15" customHeight="1" x14ac:dyDescent="0.3">
      <c r="A21" s="134"/>
      <c r="B21" s="134"/>
      <c r="C21" s="134"/>
      <c r="D21" s="134"/>
      <c r="E21" s="134"/>
      <c r="F21" s="134"/>
      <c r="G21" s="134"/>
      <c r="H21" s="134"/>
      <c r="I21" s="134"/>
      <c r="J21" s="134"/>
      <c r="K21" s="134"/>
      <c r="L21" s="134"/>
      <c r="O21" s="141"/>
      <c r="P21" s="141"/>
    </row>
    <row r="22" spans="1:18" ht="15" customHeight="1" x14ac:dyDescent="0.3">
      <c r="A22" s="134"/>
      <c r="B22" s="134"/>
      <c r="C22" s="134"/>
      <c r="D22" s="134"/>
      <c r="E22" s="134"/>
      <c r="F22" s="134"/>
      <c r="G22" s="134"/>
      <c r="H22" s="134"/>
      <c r="I22" s="134"/>
      <c r="J22" s="134"/>
      <c r="K22" s="134"/>
      <c r="L22" s="134"/>
      <c r="O22" s="141"/>
      <c r="P22" s="141"/>
    </row>
    <row r="23" spans="1:18" ht="15" customHeight="1" x14ac:dyDescent="0.3">
      <c r="A23" s="134"/>
      <c r="B23" s="134"/>
      <c r="C23" s="134"/>
      <c r="D23" s="134"/>
      <c r="E23" s="134"/>
      <c r="F23" s="134"/>
      <c r="G23" s="134"/>
      <c r="H23" s="134"/>
      <c r="I23" s="134"/>
      <c r="J23" s="134"/>
      <c r="K23" s="134"/>
      <c r="L23" s="134"/>
      <c r="O23" s="141"/>
      <c r="P23" s="141"/>
    </row>
    <row r="24" spans="1:18" ht="15" customHeight="1" x14ac:dyDescent="0.3">
      <c r="A24" s="134"/>
      <c r="B24" s="134"/>
      <c r="C24" s="134"/>
      <c r="D24" s="134"/>
      <c r="E24" s="134"/>
      <c r="F24" s="134"/>
      <c r="G24" s="134"/>
      <c r="H24" s="134"/>
      <c r="I24" s="134"/>
      <c r="J24" s="134"/>
      <c r="K24" s="134"/>
      <c r="L24" s="134"/>
      <c r="O24" s="141"/>
      <c r="P24" s="141"/>
    </row>
    <row r="25" spans="1:18" ht="15" customHeight="1" x14ac:dyDescent="0.3">
      <c r="A25" s="134"/>
      <c r="B25" s="134"/>
      <c r="C25" s="134"/>
      <c r="D25" s="134"/>
      <c r="E25" s="134"/>
      <c r="F25" s="134"/>
      <c r="G25" s="134"/>
      <c r="H25" s="134"/>
      <c r="I25" s="134"/>
      <c r="J25" s="134"/>
      <c r="K25" s="134"/>
      <c r="L25" s="134"/>
      <c r="O25" s="141"/>
      <c r="P25" s="141"/>
    </row>
    <row r="26" spans="1:18" ht="15" customHeight="1" x14ac:dyDescent="0.3">
      <c r="A26" s="134"/>
      <c r="B26" s="134"/>
      <c r="C26" s="134"/>
      <c r="D26" s="134"/>
      <c r="E26" s="134"/>
      <c r="F26" s="134"/>
      <c r="G26" s="134"/>
      <c r="H26" s="134"/>
      <c r="I26" s="134"/>
      <c r="J26" s="134"/>
      <c r="K26" s="134"/>
      <c r="L26" s="134"/>
      <c r="O26" s="141"/>
      <c r="P26" s="141"/>
    </row>
    <row r="27" spans="1:18" ht="15" customHeight="1" x14ac:dyDescent="0.3">
      <c r="A27" s="134"/>
      <c r="B27" s="134"/>
      <c r="C27" s="134"/>
      <c r="D27" s="134"/>
      <c r="E27" s="134"/>
      <c r="F27" s="134"/>
      <c r="G27" s="134"/>
      <c r="H27" s="134"/>
      <c r="I27" s="134"/>
      <c r="J27" s="134"/>
      <c r="K27" s="134"/>
      <c r="L27" s="134"/>
      <c r="O27" s="141"/>
      <c r="P27" s="141"/>
    </row>
    <row r="28" spans="1:18" ht="15" customHeight="1" x14ac:dyDescent="0.3">
      <c r="A28" s="134"/>
      <c r="B28" s="134"/>
      <c r="C28" s="134"/>
      <c r="D28" s="134"/>
      <c r="E28" s="134"/>
      <c r="F28" s="134"/>
      <c r="G28" s="134"/>
      <c r="H28" s="134"/>
      <c r="I28" s="134"/>
      <c r="J28" s="134"/>
      <c r="K28" s="134"/>
      <c r="L28" s="134"/>
      <c r="O28" s="141"/>
      <c r="P28" s="141"/>
    </row>
    <row r="29" spans="1:18" ht="15" customHeight="1" x14ac:dyDescent="0.3">
      <c r="A29" s="134"/>
      <c r="B29" s="134"/>
      <c r="C29" s="134"/>
      <c r="D29" s="134"/>
      <c r="E29" s="134"/>
      <c r="F29" s="134"/>
      <c r="G29" s="134"/>
      <c r="H29" s="134"/>
      <c r="I29" s="134"/>
      <c r="J29" s="134"/>
      <c r="K29" s="134"/>
      <c r="L29" s="134"/>
      <c r="O29" s="141"/>
      <c r="P29" s="141"/>
    </row>
    <row r="30" spans="1:18" ht="15" customHeight="1" x14ac:dyDescent="0.3">
      <c r="A30" s="134"/>
      <c r="B30" s="134"/>
      <c r="C30" s="134"/>
      <c r="D30" s="134"/>
      <c r="E30" s="134"/>
      <c r="F30" s="134"/>
      <c r="G30" s="134"/>
      <c r="H30" s="134"/>
      <c r="I30" s="134"/>
      <c r="J30" s="134"/>
      <c r="K30" s="134"/>
      <c r="L30" s="134"/>
      <c r="O30" s="141"/>
      <c r="P30" s="141"/>
    </row>
    <row r="31" spans="1:18" ht="15" customHeight="1" x14ac:dyDescent="0.3">
      <c r="A31" s="134"/>
      <c r="B31" s="134"/>
      <c r="C31" s="134"/>
      <c r="D31" s="134"/>
      <c r="E31" s="134"/>
      <c r="F31" s="134"/>
      <c r="G31" s="134"/>
      <c r="H31" s="134"/>
      <c r="I31" s="134"/>
      <c r="J31" s="134"/>
      <c r="K31" s="134"/>
      <c r="L31" s="134"/>
      <c r="O31" s="141"/>
      <c r="P31" s="141"/>
    </row>
    <row r="32" spans="1:18" ht="15" customHeight="1" x14ac:dyDescent="0.3">
      <c r="A32" s="134"/>
      <c r="B32" s="134"/>
      <c r="C32" s="134"/>
      <c r="D32" s="134"/>
      <c r="E32" s="134"/>
      <c r="F32" s="134"/>
      <c r="G32" s="134"/>
      <c r="H32" s="134"/>
      <c r="I32" s="134"/>
      <c r="J32" s="134"/>
      <c r="K32" s="134"/>
      <c r="L32" s="134"/>
      <c r="O32" s="141"/>
      <c r="P32" s="141"/>
    </row>
    <row r="33" spans="1:16" ht="15" customHeight="1" x14ac:dyDescent="0.3">
      <c r="A33" s="134"/>
      <c r="B33" s="134"/>
      <c r="C33" s="134"/>
      <c r="D33" s="134"/>
      <c r="E33" s="134"/>
      <c r="F33" s="134"/>
      <c r="G33" s="134"/>
      <c r="H33" s="134"/>
      <c r="I33" s="134"/>
      <c r="J33" s="134"/>
      <c r="K33" s="134"/>
      <c r="L33" s="134"/>
      <c r="O33" s="141"/>
      <c r="P33" s="141"/>
    </row>
    <row r="34" spans="1:16" ht="15" customHeight="1" x14ac:dyDescent="0.3">
      <c r="A34" s="134"/>
      <c r="B34" s="134"/>
      <c r="C34" s="134"/>
      <c r="D34" s="134"/>
      <c r="E34" s="134"/>
      <c r="F34" s="134"/>
      <c r="G34" s="134"/>
      <c r="H34" s="134"/>
      <c r="I34" s="134"/>
      <c r="J34" s="134"/>
      <c r="K34" s="134"/>
      <c r="L34" s="134"/>
      <c r="O34" s="141"/>
      <c r="P34" s="141"/>
    </row>
    <row r="35" spans="1:16" ht="15" customHeight="1" x14ac:dyDescent="0.3">
      <c r="A35" s="134"/>
      <c r="B35" s="134"/>
      <c r="C35" s="134"/>
      <c r="D35" s="134"/>
      <c r="E35" s="134"/>
      <c r="F35" s="134"/>
      <c r="G35" s="134"/>
      <c r="H35" s="134"/>
      <c r="I35" s="134"/>
      <c r="J35" s="134"/>
      <c r="K35" s="134"/>
      <c r="L35" s="134"/>
      <c r="O35" s="141"/>
      <c r="P35" s="141"/>
    </row>
    <row r="36" spans="1:16" ht="15" customHeight="1" x14ac:dyDescent="0.3">
      <c r="A36" s="134"/>
      <c r="B36" s="134"/>
      <c r="C36" s="134"/>
      <c r="D36" s="134"/>
      <c r="E36" s="134"/>
      <c r="F36" s="134"/>
      <c r="G36" s="134"/>
      <c r="H36" s="134"/>
      <c r="I36" s="134"/>
      <c r="J36" s="134"/>
      <c r="K36" s="134"/>
      <c r="L36" s="134"/>
      <c r="O36" s="141"/>
      <c r="P36" s="141"/>
    </row>
    <row r="37" spans="1:16" ht="15" customHeight="1" x14ac:dyDescent="0.3">
      <c r="A37" s="134"/>
      <c r="B37" s="134"/>
      <c r="C37" s="134"/>
      <c r="D37" s="134"/>
      <c r="E37" s="134"/>
      <c r="F37" s="134"/>
      <c r="G37" s="134"/>
      <c r="H37" s="134"/>
      <c r="I37" s="134"/>
      <c r="J37" s="134"/>
      <c r="K37" s="134"/>
      <c r="L37" s="134"/>
      <c r="O37" s="141"/>
      <c r="P37" s="141"/>
    </row>
    <row r="38" spans="1:16" ht="15" customHeight="1" x14ac:dyDescent="0.3">
      <c r="A38" s="134"/>
      <c r="B38" s="134"/>
      <c r="C38" s="134"/>
      <c r="D38" s="134"/>
      <c r="E38" s="134"/>
      <c r="F38" s="134"/>
      <c r="G38" s="134"/>
      <c r="H38" s="134"/>
      <c r="I38" s="134"/>
      <c r="J38" s="134"/>
      <c r="K38" s="134"/>
      <c r="L38" s="134"/>
      <c r="O38" s="141"/>
      <c r="P38" s="141"/>
    </row>
    <row r="39" spans="1:16" ht="15" customHeight="1" x14ac:dyDescent="0.3">
      <c r="A39" s="134"/>
      <c r="B39" s="134"/>
      <c r="C39" s="134"/>
      <c r="D39" s="134"/>
      <c r="E39" s="134"/>
      <c r="F39" s="134"/>
      <c r="G39" s="134"/>
      <c r="H39" s="134"/>
      <c r="I39" s="134"/>
      <c r="J39" s="134"/>
      <c r="K39" s="134"/>
      <c r="L39" s="134"/>
      <c r="O39" s="141"/>
      <c r="P39" s="141"/>
    </row>
    <row r="40" spans="1:16" s="100" customFormat="1" ht="20.100000000000001" customHeight="1" x14ac:dyDescent="0.3">
      <c r="A40" s="1" t="str">
        <f ca="1">"The blast event data was collected intermittently between the following dates:  "&amp;TEXT(MIN(Date),"mm/dd/yy")&amp;" and "&amp;TEXT(MAX(Date),"mm/dd/yy")&amp;"."</f>
        <v>The blast event data was collected intermittently between the following dates:  07/27/00 and 08/29/01.</v>
      </c>
      <c r="B40" s="102"/>
      <c r="C40" s="102"/>
      <c r="D40" s="102"/>
      <c r="E40" s="102"/>
      <c r="F40" s="102"/>
      <c r="G40" s="102"/>
      <c r="H40" s="1"/>
      <c r="I40" s="102"/>
      <c r="J40" s="1"/>
      <c r="K40" s="102"/>
      <c r="O40" s="136"/>
      <c r="P40" s="136"/>
    </row>
    <row r="41" spans="1:16" s="100" customFormat="1" ht="20.100000000000001" customHeight="1" x14ac:dyDescent="0.3">
      <c r="A41" s="102"/>
      <c r="B41" s="102"/>
      <c r="C41" s="102"/>
      <c r="D41" s="102"/>
      <c r="E41" s="102"/>
      <c r="F41" s="102"/>
      <c r="G41" s="103"/>
      <c r="H41" s="103"/>
      <c r="I41" s="104"/>
      <c r="J41" s="102"/>
      <c r="K41" s="102"/>
      <c r="P41" s="136"/>
    </row>
    <row r="42" spans="1:16" s="100" customFormat="1" ht="20.100000000000001" customHeight="1" x14ac:dyDescent="0.3">
      <c r="A42" s="233" t="s">
        <v>123</v>
      </c>
      <c r="B42" s="270"/>
      <c r="C42" s="270"/>
      <c r="D42" s="270"/>
      <c r="E42" s="270"/>
      <c r="F42" s="270"/>
      <c r="G42" s="270"/>
      <c r="H42" s="270"/>
      <c r="I42" s="270"/>
      <c r="J42" s="270"/>
      <c r="K42" s="271"/>
      <c r="P42" s="136"/>
    </row>
    <row r="43" spans="1:16" s="100" customFormat="1" ht="20.100000000000001" customHeight="1" x14ac:dyDescent="0.3">
      <c r="A43" s="263" t="s">
        <v>131</v>
      </c>
      <c r="B43" s="264"/>
      <c r="C43" s="264"/>
      <c r="D43" s="105" t="s">
        <v>124</v>
      </c>
      <c r="E43" s="113">
        <f ca="1">EXP(INDEX(LINEST(LN(Metric_Ab),LN(Metric_SD3),,),1,2))</f>
        <v>669.72705265384718</v>
      </c>
      <c r="F43" s="243" t="s">
        <v>128</v>
      </c>
      <c r="G43" s="244"/>
      <c r="H43" s="244"/>
      <c r="I43" s="244"/>
      <c r="J43" s="244"/>
      <c r="K43" s="245"/>
      <c r="O43" s="136"/>
      <c r="P43" s="136"/>
    </row>
    <row r="44" spans="1:16" s="100" customFormat="1" ht="20.100000000000001" customHeight="1" x14ac:dyDescent="0.3">
      <c r="A44" s="263"/>
      <c r="B44" s="264"/>
      <c r="C44" s="264"/>
      <c r="D44" s="105" t="s">
        <v>121</v>
      </c>
      <c r="E44" s="113">
        <f ca="1">AirBlast_Metric!N5</f>
        <v>1458.9680968229929</v>
      </c>
      <c r="F44" s="236" t="s">
        <v>129</v>
      </c>
      <c r="G44" s="237"/>
      <c r="H44" s="237"/>
      <c r="I44" s="237"/>
      <c r="J44" s="237"/>
      <c r="K44" s="238"/>
      <c r="L44" s="150"/>
      <c r="O44" s="136"/>
      <c r="P44" s="136"/>
    </row>
    <row r="45" spans="1:16" s="100" customFormat="1" ht="20.100000000000001" customHeight="1" x14ac:dyDescent="0.3">
      <c r="A45" s="263"/>
      <c r="B45" s="264"/>
      <c r="C45" s="264"/>
      <c r="D45" s="105" t="s">
        <v>122</v>
      </c>
      <c r="E45" s="113">
        <f ca="1">INDEX(LINEST(LN(Metric_Ab),LN(Metric_SD3),,),1)</f>
        <v>-0.8826875819001937</v>
      </c>
      <c r="F45" s="236" t="s">
        <v>127</v>
      </c>
      <c r="G45" s="237"/>
      <c r="H45" s="237"/>
      <c r="I45" s="237"/>
      <c r="J45" s="237"/>
      <c r="K45" s="238"/>
      <c r="L45" s="150"/>
      <c r="O45" s="136"/>
      <c r="P45" s="136"/>
    </row>
    <row r="46" spans="1:16" s="139" customFormat="1" ht="16.5" customHeight="1" x14ac:dyDescent="0.3">
      <c r="D46" s="103"/>
      <c r="E46" s="103"/>
      <c r="F46" s="103"/>
      <c r="G46" s="103"/>
      <c r="H46" s="103"/>
      <c r="I46" s="103"/>
      <c r="J46" s="103"/>
      <c r="K46" s="103"/>
      <c r="L46" s="150"/>
      <c r="M46" s="146"/>
      <c r="O46" s="141"/>
      <c r="P46" s="141"/>
    </row>
    <row r="47" spans="1:16" s="139" customFormat="1" ht="16.5" customHeight="1" x14ac:dyDescent="0.3">
      <c r="A47" s="103"/>
      <c r="B47" s="103"/>
      <c r="C47" s="103"/>
      <c r="D47" s="103"/>
      <c r="E47" s="103"/>
      <c r="F47" s="103"/>
      <c r="G47" s="103"/>
      <c r="H47" s="103"/>
      <c r="I47" s="103"/>
      <c r="J47" s="103"/>
      <c r="K47" s="103"/>
      <c r="L47" s="150"/>
      <c r="M47" s="146"/>
      <c r="O47" s="141"/>
      <c r="P47" s="141"/>
    </row>
    <row r="48" spans="1:16" s="139" customFormat="1" x14ac:dyDescent="0.3">
      <c r="A48" s="161"/>
      <c r="B48" s="161"/>
      <c r="C48" s="161"/>
      <c r="D48" s="161"/>
      <c r="E48" s="161"/>
      <c r="F48" s="161"/>
      <c r="G48" s="161"/>
      <c r="H48" s="161"/>
      <c r="I48" s="161"/>
      <c r="J48" s="161"/>
      <c r="K48" s="161"/>
      <c r="L48" s="161"/>
      <c r="M48" s="146"/>
      <c r="O48" s="141"/>
      <c r="P48" s="141"/>
    </row>
    <row r="49" spans="1:16" s="139" customFormat="1" x14ac:dyDescent="0.3">
      <c r="A49" s="161"/>
      <c r="B49" s="161"/>
      <c r="C49" s="161"/>
      <c r="D49" s="161"/>
      <c r="E49" s="161"/>
      <c r="F49" s="161"/>
      <c r="G49" s="161"/>
      <c r="H49" s="161"/>
      <c r="I49" s="161"/>
      <c r="J49" s="161"/>
      <c r="K49" s="161"/>
      <c r="L49" s="161"/>
      <c r="M49" s="146"/>
      <c r="O49" s="141"/>
      <c r="P49" s="141"/>
    </row>
    <row r="50" spans="1:16" s="139" customFormat="1" x14ac:dyDescent="0.3">
      <c r="A50" s="161"/>
      <c r="B50" s="161"/>
      <c r="C50" s="161"/>
      <c r="D50" s="161"/>
      <c r="E50" s="161"/>
      <c r="F50" s="161"/>
      <c r="G50" s="161"/>
      <c r="H50" s="161"/>
      <c r="I50" s="161"/>
      <c r="J50" s="161"/>
      <c r="K50" s="161"/>
      <c r="L50" s="161"/>
      <c r="M50" s="146"/>
      <c r="O50" s="141"/>
      <c r="P50" s="141"/>
    </row>
    <row r="51" spans="1:16" s="139" customFormat="1" x14ac:dyDescent="0.3">
      <c r="A51" s="161"/>
      <c r="B51" s="161"/>
      <c r="C51" s="161"/>
      <c r="D51" s="161"/>
      <c r="E51" s="161"/>
      <c r="F51" s="161"/>
      <c r="G51" s="161"/>
      <c r="H51" s="161"/>
      <c r="I51" s="161"/>
      <c r="J51" s="161"/>
      <c r="K51" s="161"/>
      <c r="L51" s="161"/>
      <c r="M51" s="146"/>
      <c r="O51" s="141"/>
      <c r="P51" s="141"/>
    </row>
    <row r="52" spans="1:16" s="139" customFormat="1" x14ac:dyDescent="0.3">
      <c r="A52" s="161"/>
      <c r="B52" s="161"/>
      <c r="C52" s="161"/>
      <c r="D52" s="161"/>
      <c r="E52" s="161"/>
      <c r="F52" s="161"/>
      <c r="G52" s="161"/>
      <c r="H52" s="161"/>
      <c r="I52" s="161"/>
      <c r="J52" s="161"/>
      <c r="K52" s="161"/>
      <c r="L52" s="161"/>
      <c r="M52" s="146"/>
      <c r="O52" s="141"/>
      <c r="P52" s="141"/>
    </row>
    <row r="53" spans="1:16" x14ac:dyDescent="0.3">
      <c r="A53" s="143"/>
      <c r="B53" s="143"/>
      <c r="C53" s="143"/>
      <c r="D53" s="143"/>
      <c r="E53" s="143"/>
      <c r="F53" s="143"/>
      <c r="G53" s="143"/>
      <c r="H53" s="143"/>
      <c r="I53" s="143"/>
      <c r="J53" s="143"/>
      <c r="K53" s="143"/>
      <c r="L53" s="143"/>
      <c r="O53" s="141"/>
      <c r="P53" s="141"/>
    </row>
    <row r="54" spans="1:16" x14ac:dyDescent="0.3">
      <c r="A54" s="143"/>
      <c r="B54" s="143"/>
      <c r="C54" s="143"/>
      <c r="D54" s="143"/>
      <c r="E54" s="143"/>
      <c r="F54" s="143"/>
      <c r="G54" s="143"/>
      <c r="H54" s="143"/>
      <c r="I54" s="143"/>
      <c r="J54" s="143"/>
      <c r="K54" s="143"/>
      <c r="L54" s="143"/>
      <c r="O54" s="141"/>
      <c r="P54" s="141"/>
    </row>
    <row r="55" spans="1:16" x14ac:dyDescent="0.3">
      <c r="A55" s="143"/>
      <c r="B55" s="143"/>
      <c r="C55" s="143"/>
      <c r="D55" s="143"/>
      <c r="E55" s="143"/>
      <c r="F55" s="143"/>
      <c r="G55" s="143"/>
      <c r="H55" s="143"/>
      <c r="I55" s="143"/>
      <c r="J55" s="143"/>
      <c r="K55" s="143"/>
      <c r="L55" s="143"/>
      <c r="O55" s="141"/>
      <c r="P55" s="141"/>
    </row>
    <row r="56" spans="1:16" x14ac:dyDescent="0.3">
      <c r="O56" s="141"/>
      <c r="P56" s="141"/>
    </row>
    <row r="57" spans="1:16" x14ac:dyDescent="0.3">
      <c r="O57" s="141"/>
      <c r="P57" s="141"/>
    </row>
    <row r="58" spans="1:16" x14ac:dyDescent="0.3">
      <c r="O58" s="141"/>
      <c r="P58" s="141"/>
    </row>
    <row r="59" spans="1:16" x14ac:dyDescent="0.3">
      <c r="O59" s="141"/>
      <c r="P59" s="141"/>
    </row>
    <row r="60" spans="1:16" x14ac:dyDescent="0.3">
      <c r="O60" s="141"/>
      <c r="P60" s="141"/>
    </row>
    <row r="61" spans="1:16" x14ac:dyDescent="0.3">
      <c r="O61" s="141"/>
      <c r="P61" s="141"/>
    </row>
    <row r="62" spans="1:16" x14ac:dyDescent="0.3">
      <c r="O62" s="141"/>
      <c r="P62" s="141"/>
    </row>
    <row r="63" spans="1:16" x14ac:dyDescent="0.3">
      <c r="O63" s="141"/>
      <c r="P63" s="141"/>
    </row>
    <row r="64" spans="1:16" x14ac:dyDescent="0.3">
      <c r="O64" s="141"/>
      <c r="P64" s="141"/>
    </row>
    <row r="65" spans="15:16" x14ac:dyDescent="0.3">
      <c r="O65" s="141"/>
      <c r="P65" s="141"/>
    </row>
    <row r="66" spans="15:16" x14ac:dyDescent="0.3">
      <c r="O66" s="141"/>
      <c r="P66" s="141"/>
    </row>
    <row r="67" spans="15:16" x14ac:dyDescent="0.3">
      <c r="O67" s="141"/>
      <c r="P67" s="141"/>
    </row>
    <row r="68" spans="15:16" x14ac:dyDescent="0.3">
      <c r="O68" s="141"/>
      <c r="P68" s="141"/>
    </row>
    <row r="69" spans="15:16" x14ac:dyDescent="0.3">
      <c r="O69" s="141"/>
      <c r="P69" s="141"/>
    </row>
    <row r="70" spans="15:16" x14ac:dyDescent="0.3">
      <c r="O70" s="141"/>
      <c r="P70" s="141"/>
    </row>
    <row r="71" spans="15:16" x14ac:dyDescent="0.3">
      <c r="O71" s="141"/>
      <c r="P71" s="141"/>
    </row>
    <row r="72" spans="15:16" x14ac:dyDescent="0.3">
      <c r="O72" s="141"/>
      <c r="P72" s="141"/>
    </row>
    <row r="73" spans="15:16" x14ac:dyDescent="0.3">
      <c r="O73" s="141"/>
      <c r="P73" s="141"/>
    </row>
    <row r="74" spans="15:16" x14ac:dyDescent="0.3">
      <c r="O74" s="141"/>
      <c r="P74" s="141"/>
    </row>
    <row r="75" spans="15:16" x14ac:dyDescent="0.3">
      <c r="O75" s="141"/>
      <c r="P75" s="141"/>
    </row>
    <row r="76" spans="15:16" x14ac:dyDescent="0.3">
      <c r="O76" s="141"/>
      <c r="P76" s="141"/>
    </row>
    <row r="77" spans="15:16" x14ac:dyDescent="0.3">
      <c r="O77" s="141"/>
      <c r="P77" s="141"/>
    </row>
    <row r="78" spans="15:16" x14ac:dyDescent="0.3">
      <c r="O78" s="141"/>
      <c r="P78" s="141"/>
    </row>
    <row r="79" spans="15:16" x14ac:dyDescent="0.3">
      <c r="O79" s="141"/>
      <c r="P79" s="141"/>
    </row>
    <row r="80" spans="15:16" x14ac:dyDescent="0.3">
      <c r="O80" s="141"/>
      <c r="P80" s="141"/>
    </row>
    <row r="81" spans="15:16" x14ac:dyDescent="0.3">
      <c r="O81" s="141"/>
      <c r="P81" s="141"/>
    </row>
    <row r="82" spans="15:16" x14ac:dyDescent="0.3">
      <c r="O82" s="141"/>
      <c r="P82" s="141"/>
    </row>
    <row r="83" spans="15:16" x14ac:dyDescent="0.3">
      <c r="O83" s="141"/>
      <c r="P83" s="141"/>
    </row>
    <row r="84" spans="15:16" x14ac:dyDescent="0.3">
      <c r="O84" s="141"/>
      <c r="P84" s="141"/>
    </row>
    <row r="85" spans="15:16" x14ac:dyDescent="0.3">
      <c r="O85" s="141"/>
      <c r="P85" s="141"/>
    </row>
    <row r="86" spans="15:16" x14ac:dyDescent="0.3">
      <c r="O86" s="141"/>
      <c r="P86" s="141"/>
    </row>
    <row r="87" spans="15:16" x14ac:dyDescent="0.3">
      <c r="O87" s="141"/>
      <c r="P87" s="141"/>
    </row>
    <row r="88" spans="15:16" x14ac:dyDescent="0.3">
      <c r="O88" s="141"/>
      <c r="P88" s="141"/>
    </row>
    <row r="89" spans="15:16" x14ac:dyDescent="0.3">
      <c r="O89" s="141"/>
      <c r="P89" s="141"/>
    </row>
    <row r="90" spans="15:16" x14ac:dyDescent="0.3">
      <c r="O90" s="141"/>
      <c r="P90" s="141"/>
    </row>
    <row r="91" spans="15:16" x14ac:dyDescent="0.3">
      <c r="O91" s="141"/>
      <c r="P91" s="141"/>
    </row>
    <row r="92" spans="15:16" x14ac:dyDescent="0.3">
      <c r="O92" s="141"/>
      <c r="P92" s="141"/>
    </row>
    <row r="93" spans="15:16" x14ac:dyDescent="0.3">
      <c r="O93" s="141"/>
      <c r="P93" s="141"/>
    </row>
    <row r="94" spans="15:16" x14ac:dyDescent="0.3">
      <c r="O94" s="141"/>
      <c r="P94" s="141"/>
    </row>
    <row r="95" spans="15:16" x14ac:dyDescent="0.3">
      <c r="O95" s="141"/>
      <c r="P95" s="141"/>
    </row>
    <row r="96" spans="15:16" x14ac:dyDescent="0.3">
      <c r="O96" s="141"/>
      <c r="P96" s="141"/>
    </row>
    <row r="97" spans="15:16" x14ac:dyDescent="0.3">
      <c r="O97" s="141"/>
      <c r="P97" s="141"/>
    </row>
    <row r="98" spans="15:16" x14ac:dyDescent="0.3">
      <c r="O98" s="141"/>
      <c r="P98" s="141"/>
    </row>
    <row r="99" spans="15:16" x14ac:dyDescent="0.3">
      <c r="O99" s="141"/>
      <c r="P99" s="141"/>
    </row>
    <row r="100" spans="15:16" x14ac:dyDescent="0.3">
      <c r="O100" s="141"/>
      <c r="P100" s="141"/>
    </row>
    <row r="101" spans="15:16" x14ac:dyDescent="0.3">
      <c r="O101" s="141"/>
      <c r="P101" s="141"/>
    </row>
    <row r="102" spans="15:16" x14ac:dyDescent="0.3">
      <c r="O102" s="141"/>
      <c r="P102" s="141"/>
    </row>
    <row r="103" spans="15:16" x14ac:dyDescent="0.3">
      <c r="O103" s="141"/>
      <c r="P103" s="141"/>
    </row>
    <row r="104" spans="15:16" x14ac:dyDescent="0.3">
      <c r="O104" s="141"/>
      <c r="P104" s="141"/>
    </row>
    <row r="105" spans="15:16" x14ac:dyDescent="0.3">
      <c r="O105" s="141"/>
      <c r="P105" s="141"/>
    </row>
    <row r="106" spans="15:16" x14ac:dyDescent="0.3">
      <c r="O106" s="141"/>
      <c r="P106" s="141"/>
    </row>
    <row r="107" spans="15:16" x14ac:dyDescent="0.3">
      <c r="O107" s="141"/>
      <c r="P107" s="141"/>
    </row>
    <row r="108" spans="15:16" x14ac:dyDescent="0.3">
      <c r="O108" s="141"/>
      <c r="P108" s="141"/>
    </row>
    <row r="109" spans="15:16" x14ac:dyDescent="0.3">
      <c r="O109" s="141"/>
      <c r="P109" s="141"/>
    </row>
    <row r="110" spans="15:16" x14ac:dyDescent="0.3">
      <c r="O110" s="141"/>
      <c r="P110" s="141"/>
    </row>
    <row r="111" spans="15:16" x14ac:dyDescent="0.3">
      <c r="O111" s="141"/>
      <c r="P111" s="141"/>
    </row>
    <row r="112" spans="15:16" x14ac:dyDescent="0.3">
      <c r="O112" s="141"/>
      <c r="P112" s="141"/>
    </row>
    <row r="113" spans="15:16" x14ac:dyDescent="0.3">
      <c r="O113" s="141"/>
      <c r="P113" s="141"/>
    </row>
    <row r="114" spans="15:16" x14ac:dyDescent="0.3">
      <c r="O114" s="141"/>
      <c r="P114" s="141"/>
    </row>
    <row r="115" spans="15:16" x14ac:dyDescent="0.3">
      <c r="O115" s="141"/>
      <c r="P115" s="141"/>
    </row>
    <row r="116" spans="15:16" x14ac:dyDescent="0.3">
      <c r="O116" s="141"/>
      <c r="P116" s="141"/>
    </row>
    <row r="117" spans="15:16" x14ac:dyDescent="0.3">
      <c r="O117" s="141"/>
      <c r="P117" s="141"/>
    </row>
    <row r="118" spans="15:16" x14ac:dyDescent="0.3">
      <c r="O118" s="141"/>
      <c r="P118" s="141"/>
    </row>
    <row r="119" spans="15:16" x14ac:dyDescent="0.3">
      <c r="O119" s="141"/>
      <c r="P119" s="141"/>
    </row>
    <row r="120" spans="15:16" x14ac:dyDescent="0.3">
      <c r="O120" s="141"/>
      <c r="P120" s="141"/>
    </row>
    <row r="121" spans="15:16" x14ac:dyDescent="0.3">
      <c r="O121" s="141"/>
      <c r="P121" s="141"/>
    </row>
    <row r="122" spans="15:16" x14ac:dyDescent="0.3">
      <c r="O122" s="141"/>
      <c r="P122" s="141"/>
    </row>
    <row r="123" spans="15:16" x14ac:dyDescent="0.3">
      <c r="O123" s="141"/>
      <c r="P123" s="141"/>
    </row>
    <row r="124" spans="15:16" x14ac:dyDescent="0.3">
      <c r="O124" s="141"/>
      <c r="P124" s="141"/>
    </row>
    <row r="125" spans="15:16" x14ac:dyDescent="0.3">
      <c r="O125" s="141"/>
      <c r="P125" s="141"/>
    </row>
    <row r="126" spans="15:16" x14ac:dyDescent="0.3">
      <c r="O126" s="141"/>
      <c r="P126" s="141"/>
    </row>
    <row r="127" spans="15:16" x14ac:dyDescent="0.3">
      <c r="O127" s="141"/>
      <c r="P127" s="141"/>
    </row>
    <row r="128" spans="15:16" x14ac:dyDescent="0.3">
      <c r="O128" s="141"/>
      <c r="P128" s="141"/>
    </row>
    <row r="129" spans="15:16" x14ac:dyDescent="0.3">
      <c r="O129" s="141"/>
      <c r="P129" s="141"/>
    </row>
    <row r="130" spans="15:16" x14ac:dyDescent="0.3">
      <c r="O130" s="141"/>
      <c r="P130" s="141"/>
    </row>
    <row r="131" spans="15:16" x14ac:dyDescent="0.3">
      <c r="O131" s="141"/>
      <c r="P131" s="141"/>
    </row>
    <row r="132" spans="15:16" x14ac:dyDescent="0.3">
      <c r="O132" s="141"/>
      <c r="P132" s="141"/>
    </row>
    <row r="133" spans="15:16" x14ac:dyDescent="0.3">
      <c r="O133" s="141"/>
      <c r="P133" s="141"/>
    </row>
    <row r="134" spans="15:16" x14ac:dyDescent="0.3">
      <c r="O134" s="141"/>
      <c r="P134" s="141"/>
    </row>
    <row r="135" spans="15:16" x14ac:dyDescent="0.3">
      <c r="O135" s="141"/>
      <c r="P135" s="141"/>
    </row>
    <row r="136" spans="15:16" x14ac:dyDescent="0.3">
      <c r="O136" s="141"/>
      <c r="P136" s="141"/>
    </row>
    <row r="137" spans="15:16" x14ac:dyDescent="0.3">
      <c r="O137" s="141"/>
      <c r="P137" s="141"/>
    </row>
    <row r="138" spans="15:16" x14ac:dyDescent="0.3">
      <c r="O138" s="141"/>
      <c r="P138" s="141"/>
    </row>
    <row r="139" spans="15:16" x14ac:dyDescent="0.3">
      <c r="O139" s="141"/>
      <c r="P139" s="141"/>
    </row>
    <row r="140" spans="15:16" x14ac:dyDescent="0.3">
      <c r="O140" s="141"/>
      <c r="P140" s="141"/>
    </row>
    <row r="141" spans="15:16" x14ac:dyDescent="0.3">
      <c r="O141" s="141"/>
      <c r="P141" s="141"/>
    </row>
    <row r="142" spans="15:16" x14ac:dyDescent="0.3">
      <c r="O142" s="141"/>
      <c r="P142" s="141"/>
    </row>
    <row r="143" spans="15:16" x14ac:dyDescent="0.3">
      <c r="O143" s="141"/>
      <c r="P143" s="141"/>
    </row>
    <row r="144" spans="15:16" x14ac:dyDescent="0.3">
      <c r="O144" s="141"/>
      <c r="P144" s="141"/>
    </row>
    <row r="145" spans="15:16" x14ac:dyDescent="0.3">
      <c r="O145" s="141"/>
      <c r="P145" s="141"/>
    </row>
    <row r="146" spans="15:16" x14ac:dyDescent="0.3">
      <c r="O146" s="141"/>
      <c r="P146" s="141"/>
    </row>
    <row r="147" spans="15:16" x14ac:dyDescent="0.3">
      <c r="O147" s="141"/>
      <c r="P147" s="141"/>
    </row>
    <row r="148" spans="15:16" x14ac:dyDescent="0.3">
      <c r="O148" s="141"/>
      <c r="P148" s="141"/>
    </row>
    <row r="149" spans="15:16" x14ac:dyDescent="0.3">
      <c r="O149" s="141"/>
      <c r="P149" s="141"/>
    </row>
    <row r="150" spans="15:16" x14ac:dyDescent="0.3">
      <c r="O150" s="141"/>
      <c r="P150" s="141"/>
    </row>
    <row r="151" spans="15:16" x14ac:dyDescent="0.3">
      <c r="O151" s="141"/>
      <c r="P151" s="141"/>
    </row>
    <row r="152" spans="15:16" x14ac:dyDescent="0.3">
      <c r="O152" s="141"/>
      <c r="P152" s="141"/>
    </row>
    <row r="153" spans="15:16" x14ac:dyDescent="0.3">
      <c r="O153" s="141"/>
      <c r="P153" s="141"/>
    </row>
    <row r="154" spans="15:16" x14ac:dyDescent="0.3">
      <c r="O154" s="141"/>
      <c r="P154" s="141"/>
    </row>
    <row r="155" spans="15:16" x14ac:dyDescent="0.3">
      <c r="O155" s="141"/>
      <c r="P155" s="141"/>
    </row>
    <row r="156" spans="15:16" x14ac:dyDescent="0.3">
      <c r="O156" s="141"/>
      <c r="P156" s="141"/>
    </row>
    <row r="157" spans="15:16" x14ac:dyDescent="0.3">
      <c r="O157" s="141"/>
      <c r="P157" s="141"/>
    </row>
    <row r="158" spans="15:16" x14ac:dyDescent="0.3">
      <c r="O158" s="141"/>
      <c r="P158" s="141"/>
    </row>
    <row r="159" spans="15:16" x14ac:dyDescent="0.3">
      <c r="O159" s="141"/>
      <c r="P159" s="141"/>
    </row>
    <row r="160" spans="15:16" x14ac:dyDescent="0.3">
      <c r="O160" s="141"/>
      <c r="P160" s="141"/>
    </row>
    <row r="161" spans="15:16" x14ac:dyDescent="0.3">
      <c r="O161" s="141"/>
      <c r="P161" s="141"/>
    </row>
    <row r="162" spans="15:16" x14ac:dyDescent="0.3">
      <c r="O162" s="141"/>
      <c r="P162" s="141"/>
    </row>
    <row r="163" spans="15:16" x14ac:dyDescent="0.3">
      <c r="O163" s="141"/>
      <c r="P163" s="141"/>
    </row>
    <row r="164" spans="15:16" x14ac:dyDescent="0.3">
      <c r="O164" s="141"/>
      <c r="P164" s="141"/>
    </row>
    <row r="165" spans="15:16" x14ac:dyDescent="0.3">
      <c r="O165" s="141"/>
      <c r="P165" s="141"/>
    </row>
    <row r="166" spans="15:16" x14ac:dyDescent="0.3">
      <c r="O166" s="141"/>
      <c r="P166" s="141"/>
    </row>
    <row r="167" spans="15:16" x14ac:dyDescent="0.3">
      <c r="O167" s="141"/>
      <c r="P167" s="141"/>
    </row>
    <row r="168" spans="15:16" x14ac:dyDescent="0.3">
      <c r="O168" s="141"/>
      <c r="P168" s="141"/>
    </row>
    <row r="169" spans="15:16" x14ac:dyDescent="0.3">
      <c r="O169" s="141"/>
      <c r="P169" s="141"/>
    </row>
    <row r="170" spans="15:16" x14ac:dyDescent="0.3">
      <c r="O170" s="141"/>
      <c r="P170" s="141"/>
    </row>
    <row r="171" spans="15:16" x14ac:dyDescent="0.3">
      <c r="O171" s="141"/>
      <c r="P171" s="141"/>
    </row>
    <row r="172" spans="15:16" x14ac:dyDescent="0.3">
      <c r="O172" s="141"/>
      <c r="P172" s="141"/>
    </row>
    <row r="173" spans="15:16" x14ac:dyDescent="0.3">
      <c r="O173" s="141"/>
      <c r="P173" s="141"/>
    </row>
    <row r="174" spans="15:16" x14ac:dyDescent="0.3">
      <c r="O174" s="141"/>
      <c r="P174" s="141"/>
    </row>
    <row r="175" spans="15:16" x14ac:dyDescent="0.3">
      <c r="O175" s="141"/>
      <c r="P175" s="141"/>
    </row>
    <row r="176" spans="15:16" x14ac:dyDescent="0.3">
      <c r="O176" s="141"/>
      <c r="P176" s="141"/>
    </row>
    <row r="177" spans="15:16" x14ac:dyDescent="0.3">
      <c r="O177" s="141"/>
      <c r="P177" s="141"/>
    </row>
    <row r="178" spans="15:16" x14ac:dyDescent="0.3">
      <c r="O178" s="141"/>
      <c r="P178" s="141"/>
    </row>
    <row r="179" spans="15:16" x14ac:dyDescent="0.3">
      <c r="O179" s="141"/>
      <c r="P179" s="141"/>
    </row>
    <row r="180" spans="15:16" x14ac:dyDescent="0.3">
      <c r="O180" s="141"/>
      <c r="P180" s="141"/>
    </row>
    <row r="181" spans="15:16" x14ac:dyDescent="0.3">
      <c r="O181" s="141"/>
      <c r="P181" s="141"/>
    </row>
    <row r="182" spans="15:16" x14ac:dyDescent="0.3">
      <c r="O182" s="141"/>
      <c r="P182" s="141"/>
    </row>
    <row r="183" spans="15:16" x14ac:dyDescent="0.3">
      <c r="O183" s="141"/>
      <c r="P183" s="141"/>
    </row>
    <row r="184" spans="15:16" x14ac:dyDescent="0.3">
      <c r="O184" s="141"/>
      <c r="P184" s="141"/>
    </row>
    <row r="185" spans="15:16" x14ac:dyDescent="0.3">
      <c r="O185" s="141"/>
      <c r="P185" s="141"/>
    </row>
    <row r="186" spans="15:16" x14ac:dyDescent="0.3">
      <c r="O186" s="141"/>
      <c r="P186" s="141"/>
    </row>
    <row r="187" spans="15:16" x14ac:dyDescent="0.3">
      <c r="O187" s="141"/>
      <c r="P187" s="141"/>
    </row>
    <row r="188" spans="15:16" x14ac:dyDescent="0.3">
      <c r="O188" s="141"/>
      <c r="P188" s="141"/>
    </row>
    <row r="189" spans="15:16" x14ac:dyDescent="0.3">
      <c r="O189" s="141"/>
      <c r="P189" s="141"/>
    </row>
    <row r="190" spans="15:16" x14ac:dyDescent="0.3">
      <c r="O190" s="141"/>
      <c r="P190" s="141"/>
    </row>
    <row r="191" spans="15:16" x14ac:dyDescent="0.3">
      <c r="O191" s="141"/>
      <c r="P191" s="141"/>
    </row>
    <row r="192" spans="15:16" x14ac:dyDescent="0.3">
      <c r="O192" s="141"/>
      <c r="P192" s="141"/>
    </row>
    <row r="193" spans="15:16" x14ac:dyDescent="0.3">
      <c r="O193" s="141"/>
      <c r="P193" s="141"/>
    </row>
    <row r="194" spans="15:16" x14ac:dyDescent="0.3">
      <c r="O194" s="141"/>
      <c r="P194" s="141"/>
    </row>
    <row r="195" spans="15:16" x14ac:dyDescent="0.3">
      <c r="O195" s="141"/>
      <c r="P195" s="141"/>
    </row>
    <row r="196" spans="15:16" x14ac:dyDescent="0.3">
      <c r="O196" s="141"/>
      <c r="P196" s="141"/>
    </row>
    <row r="197" spans="15:16" x14ac:dyDescent="0.3">
      <c r="O197" s="141"/>
      <c r="P197" s="141"/>
    </row>
    <row r="198" spans="15:16" x14ac:dyDescent="0.3">
      <c r="O198" s="141"/>
      <c r="P198" s="141"/>
    </row>
    <row r="199" spans="15:16" x14ac:dyDescent="0.3">
      <c r="O199" s="141"/>
      <c r="P199" s="141"/>
    </row>
    <row r="200" spans="15:16" x14ac:dyDescent="0.3">
      <c r="O200" s="141"/>
      <c r="P200" s="141"/>
    </row>
    <row r="201" spans="15:16" x14ac:dyDescent="0.3">
      <c r="O201" s="141"/>
      <c r="P201" s="141"/>
    </row>
    <row r="202" spans="15:16" x14ac:dyDescent="0.3">
      <c r="O202" s="141"/>
      <c r="P202" s="141"/>
    </row>
    <row r="203" spans="15:16" x14ac:dyDescent="0.3">
      <c r="O203" s="141"/>
      <c r="P203" s="141"/>
    </row>
    <row r="204" spans="15:16" x14ac:dyDescent="0.3">
      <c r="O204" s="141"/>
      <c r="P204" s="141"/>
    </row>
    <row r="205" spans="15:16" x14ac:dyDescent="0.3">
      <c r="O205" s="141"/>
      <c r="P205" s="141"/>
    </row>
    <row r="206" spans="15:16" x14ac:dyDescent="0.3">
      <c r="O206" s="141"/>
      <c r="P206" s="141"/>
    </row>
    <row r="207" spans="15:16" x14ac:dyDescent="0.3">
      <c r="O207" s="141"/>
      <c r="P207" s="141"/>
    </row>
    <row r="208" spans="15:16" x14ac:dyDescent="0.3">
      <c r="O208" s="141"/>
      <c r="P208" s="141"/>
    </row>
    <row r="209" spans="15:16" x14ac:dyDescent="0.3">
      <c r="O209" s="141"/>
      <c r="P209" s="141"/>
    </row>
    <row r="210" spans="15:16" x14ac:dyDescent="0.3">
      <c r="O210" s="141"/>
      <c r="P210" s="141"/>
    </row>
    <row r="211" spans="15:16" x14ac:dyDescent="0.3">
      <c r="O211" s="141"/>
      <c r="P211" s="141"/>
    </row>
    <row r="212" spans="15:16" x14ac:dyDescent="0.3">
      <c r="O212" s="141"/>
      <c r="P212" s="141"/>
    </row>
    <row r="213" spans="15:16" x14ac:dyDescent="0.3">
      <c r="O213" s="141"/>
      <c r="P213" s="141"/>
    </row>
    <row r="214" spans="15:16" x14ac:dyDescent="0.3">
      <c r="O214" s="141"/>
      <c r="P214" s="141"/>
    </row>
    <row r="215" spans="15:16" x14ac:dyDescent="0.3">
      <c r="O215" s="141"/>
      <c r="P215" s="141"/>
    </row>
    <row r="216" spans="15:16" x14ac:dyDescent="0.3">
      <c r="O216" s="141"/>
      <c r="P216" s="141"/>
    </row>
    <row r="217" spans="15:16" x14ac:dyDescent="0.3">
      <c r="O217" s="141"/>
      <c r="P217" s="141"/>
    </row>
    <row r="218" spans="15:16" x14ac:dyDescent="0.3">
      <c r="O218" s="141"/>
      <c r="P218" s="141"/>
    </row>
    <row r="219" spans="15:16" x14ac:dyDescent="0.3">
      <c r="O219" s="141"/>
      <c r="P219" s="141"/>
    </row>
    <row r="220" spans="15:16" x14ac:dyDescent="0.3">
      <c r="O220" s="141"/>
      <c r="P220" s="141"/>
    </row>
    <row r="221" spans="15:16" x14ac:dyDescent="0.3">
      <c r="O221" s="141"/>
      <c r="P221" s="141"/>
    </row>
    <row r="222" spans="15:16" x14ac:dyDescent="0.3">
      <c r="O222" s="141"/>
      <c r="P222" s="141"/>
    </row>
    <row r="223" spans="15:16" x14ac:dyDescent="0.3">
      <c r="O223" s="141"/>
      <c r="P223" s="141"/>
    </row>
    <row r="224" spans="15:16" x14ac:dyDescent="0.3">
      <c r="O224" s="141"/>
      <c r="P224" s="141"/>
    </row>
    <row r="225" spans="15:16" x14ac:dyDescent="0.3">
      <c r="O225" s="141"/>
      <c r="P225" s="141"/>
    </row>
    <row r="226" spans="15:16" x14ac:dyDescent="0.3">
      <c r="O226" s="141"/>
      <c r="P226" s="141"/>
    </row>
    <row r="227" spans="15:16" x14ac:dyDescent="0.3">
      <c r="O227" s="141"/>
      <c r="P227" s="141"/>
    </row>
    <row r="228" spans="15:16" x14ac:dyDescent="0.3">
      <c r="O228" s="141"/>
    </row>
    <row r="229" spans="15:16" x14ac:dyDescent="0.3">
      <c r="O229" s="141"/>
    </row>
    <row r="230" spans="15:16" x14ac:dyDescent="0.3">
      <c r="O230" s="141"/>
    </row>
    <row r="231" spans="15:16" x14ac:dyDescent="0.3">
      <c r="O231" s="141"/>
    </row>
    <row r="232" spans="15:16" x14ac:dyDescent="0.3">
      <c r="O232" s="141"/>
    </row>
    <row r="233" spans="15:16" x14ac:dyDescent="0.3">
      <c r="O233" s="141"/>
    </row>
    <row r="234" spans="15:16" x14ac:dyDescent="0.3">
      <c r="O234" s="141"/>
    </row>
    <row r="235" spans="15:16" x14ac:dyDescent="0.3">
      <c r="O235" s="141"/>
    </row>
    <row r="236" spans="15:16" x14ac:dyDescent="0.3">
      <c r="O236" s="141"/>
    </row>
    <row r="237" spans="15:16" x14ac:dyDescent="0.3">
      <c r="O237" s="141"/>
    </row>
    <row r="238" spans="15:16" x14ac:dyDescent="0.3">
      <c r="O238" s="141"/>
    </row>
    <row r="239" spans="15:16" x14ac:dyDescent="0.3">
      <c r="O239" s="141"/>
    </row>
    <row r="240" spans="15:16" x14ac:dyDescent="0.3">
      <c r="O240" s="141"/>
    </row>
    <row r="241" spans="15:15" x14ac:dyDescent="0.3">
      <c r="O241" s="141"/>
    </row>
    <row r="242" spans="15:15" x14ac:dyDescent="0.3">
      <c r="O242" s="141"/>
    </row>
    <row r="243" spans="15:15" x14ac:dyDescent="0.3">
      <c r="O243" s="141"/>
    </row>
    <row r="244" spans="15:15" x14ac:dyDescent="0.3">
      <c r="O244" s="141"/>
    </row>
    <row r="245" spans="15:15" x14ac:dyDescent="0.3">
      <c r="O245" s="141"/>
    </row>
    <row r="246" spans="15:15" x14ac:dyDescent="0.3">
      <c r="O246" s="141"/>
    </row>
    <row r="247" spans="15:15" x14ac:dyDescent="0.3">
      <c r="O247" s="141"/>
    </row>
    <row r="248" spans="15:15" x14ac:dyDescent="0.3">
      <c r="O248" s="141"/>
    </row>
    <row r="249" spans="15:15" x14ac:dyDescent="0.3">
      <c r="O249" s="141"/>
    </row>
    <row r="250" spans="15:15" x14ac:dyDescent="0.3">
      <c r="O250" s="141"/>
    </row>
    <row r="251" spans="15:15" x14ac:dyDescent="0.3">
      <c r="O251" s="141"/>
    </row>
    <row r="252" spans="15:15" x14ac:dyDescent="0.3">
      <c r="O252" s="141"/>
    </row>
    <row r="253" spans="15:15" x14ac:dyDescent="0.3">
      <c r="O253" s="141"/>
    </row>
    <row r="254" spans="15:15" x14ac:dyDescent="0.3">
      <c r="O254" s="141"/>
    </row>
    <row r="255" spans="15:15" x14ac:dyDescent="0.3">
      <c r="O255" s="141"/>
    </row>
    <row r="256" spans="15:15" x14ac:dyDescent="0.3">
      <c r="O256" s="141"/>
    </row>
    <row r="257" spans="15:15" x14ac:dyDescent="0.3">
      <c r="O257" s="141"/>
    </row>
    <row r="258" spans="15:15" x14ac:dyDescent="0.3">
      <c r="O258" s="141"/>
    </row>
    <row r="259" spans="15:15" x14ac:dyDescent="0.3">
      <c r="O259" s="141"/>
    </row>
    <row r="260" spans="15:15" x14ac:dyDescent="0.3">
      <c r="O260" s="141"/>
    </row>
    <row r="261" spans="15:15" x14ac:dyDescent="0.3">
      <c r="O261" s="141"/>
    </row>
    <row r="262" spans="15:15" x14ac:dyDescent="0.3">
      <c r="O262" s="141"/>
    </row>
    <row r="263" spans="15:15" x14ac:dyDescent="0.3">
      <c r="O263" s="141"/>
    </row>
    <row r="264" spans="15:15" x14ac:dyDescent="0.3">
      <c r="O264" s="141"/>
    </row>
    <row r="265" spans="15:15" x14ac:dyDescent="0.3">
      <c r="O265" s="141"/>
    </row>
    <row r="266" spans="15:15" x14ac:dyDescent="0.3">
      <c r="O266" s="141"/>
    </row>
    <row r="267" spans="15:15" x14ac:dyDescent="0.3">
      <c r="O267" s="141"/>
    </row>
    <row r="268" spans="15:15" x14ac:dyDescent="0.3">
      <c r="O268" s="141"/>
    </row>
    <row r="269" spans="15:15" x14ac:dyDescent="0.3">
      <c r="O269" s="141"/>
    </row>
    <row r="270" spans="15:15" x14ac:dyDescent="0.3">
      <c r="O270" s="141"/>
    </row>
    <row r="271" spans="15:15" x14ac:dyDescent="0.3">
      <c r="O271" s="141"/>
    </row>
    <row r="272" spans="15:15" x14ac:dyDescent="0.3">
      <c r="O272" s="141"/>
    </row>
    <row r="273" spans="15:15" x14ac:dyDescent="0.3">
      <c r="O273" s="141"/>
    </row>
    <row r="274" spans="15:15" x14ac:dyDescent="0.3">
      <c r="O274" s="141"/>
    </row>
    <row r="275" spans="15:15" x14ac:dyDescent="0.3">
      <c r="O275" s="141"/>
    </row>
    <row r="276" spans="15:15" x14ac:dyDescent="0.3">
      <c r="O276" s="141"/>
    </row>
    <row r="277" spans="15:15" x14ac:dyDescent="0.3">
      <c r="O277" s="141"/>
    </row>
    <row r="278" spans="15:15" x14ac:dyDescent="0.3">
      <c r="O278" s="141"/>
    </row>
    <row r="279" spans="15:15" x14ac:dyDescent="0.3">
      <c r="O279" s="141"/>
    </row>
    <row r="280" spans="15:15" x14ac:dyDescent="0.3">
      <c r="O280" s="141"/>
    </row>
    <row r="281" spans="15:15" x14ac:dyDescent="0.3">
      <c r="O281" s="141"/>
    </row>
    <row r="282" spans="15:15" x14ac:dyDescent="0.3">
      <c r="O282" s="141"/>
    </row>
    <row r="283" spans="15:15" x14ac:dyDescent="0.3">
      <c r="O283" s="141"/>
    </row>
    <row r="284" spans="15:15" x14ac:dyDescent="0.3">
      <c r="O284" s="141"/>
    </row>
    <row r="285" spans="15:15" x14ac:dyDescent="0.3">
      <c r="O285" s="141"/>
    </row>
    <row r="286" spans="15:15" x14ac:dyDescent="0.3">
      <c r="O286" s="141"/>
    </row>
    <row r="287" spans="15:15" x14ac:dyDescent="0.3">
      <c r="O287" s="141"/>
    </row>
    <row r="288" spans="15:15" x14ac:dyDescent="0.3">
      <c r="O288" s="141"/>
    </row>
    <row r="289" spans="15:15" x14ac:dyDescent="0.3">
      <c r="O289" s="141"/>
    </row>
    <row r="290" spans="15:15" x14ac:dyDescent="0.3">
      <c r="O290" s="141"/>
    </row>
    <row r="291" spans="15:15" x14ac:dyDescent="0.3">
      <c r="O291" s="141"/>
    </row>
  </sheetData>
  <mergeCells count="8">
    <mergeCell ref="P9:Q9"/>
    <mergeCell ref="M13:Q15"/>
    <mergeCell ref="N9:O9"/>
    <mergeCell ref="A43:C45"/>
    <mergeCell ref="A42:K42"/>
    <mergeCell ref="F43:K43"/>
    <mergeCell ref="F44:K44"/>
    <mergeCell ref="F45:K45"/>
  </mergeCells>
  <conditionalFormatting sqref="A1:XFD1048576">
    <cfRule type="containsErrors" dxfId="0" priority="1">
      <formula>ISERROR(A1)</formula>
    </cfRule>
  </conditionalFormatting>
  <printOptions horizontalCentered="1" verticalCentered="1"/>
  <pageMargins left="0.25" right="0.25" top="0.75" bottom="0.75" header="0.3" footer="0.3"/>
  <pageSetup orientation="portrait" r:id="rId1"/>
  <headerFooter>
    <oddHeader>&amp;C&amp;"Arial,Bold"&amp;12OSMRE Regression Analysis of Airblast Data</oddHeader>
  </headerFooter>
  <ignoredErrors>
    <ignoredError sqref="P11:P1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Input_Data</vt:lpstr>
      <vt:lpstr>Ground_Vibration</vt:lpstr>
      <vt:lpstr>AirBlast</vt:lpstr>
      <vt:lpstr>Input_Data_Metric</vt:lpstr>
      <vt:lpstr>Ground_Vibration_Metric</vt:lpstr>
      <vt:lpstr>AirBlast_Metric</vt:lpstr>
      <vt:lpstr>AirBlast!Print_Area</vt:lpstr>
      <vt:lpstr>AirBlast_Metric!Print_Area</vt:lpstr>
      <vt:lpstr>Ground_Vibration!Print_Area</vt:lpstr>
      <vt:lpstr>Ground_Vibration_Metric!Print_Area</vt:lpstr>
      <vt:lpstr>Input_Data!Print_Area</vt:lpstr>
      <vt:lpstr>Input_Data_Metric!Print_Area</vt:lpstr>
      <vt:lpstr>Input_Data!Print_Titles</vt:lpstr>
      <vt:lpstr>Input_Data_Metric!Print_Titles</vt:lpstr>
    </vt:vector>
  </TitlesOfParts>
  <Company>OSM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Farmer, Brian Matthew</dc:creator>
  <cp:lastModifiedBy>Eltschlager, Kenneth K. "Ken"</cp:lastModifiedBy>
  <cp:lastPrinted>2019-07-02T17:39:29Z</cp:lastPrinted>
  <dcterms:created xsi:type="dcterms:W3CDTF">2018-10-05T16:10:15Z</dcterms:created>
  <dcterms:modified xsi:type="dcterms:W3CDTF">2021-10-07T15:42:51Z</dcterms:modified>
</cp:coreProperties>
</file>